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5456" windowWidth="20560" windowHeight="13460" tabRatio="500" activeTab="0"/>
  </bookViews>
  <sheets>
    <sheet name="Bauteile" sheetId="1" r:id="rId1"/>
    <sheet name="Material" sheetId="2" r:id="rId2"/>
  </sheets>
  <definedNames>
    <definedName name="_xlnm.Print_Area" localSheetId="0">'Bauteile'!$A$1:$L$68</definedName>
  </definedNames>
  <calcPr fullCalcOnLoad="1"/>
</workbook>
</file>

<file path=xl/comments2.xml><?xml version="1.0" encoding="utf-8"?>
<comments xmlns="http://schemas.openxmlformats.org/spreadsheetml/2006/main">
  <authors>
    <author>unbekannter Teilnehmer</author>
  </authors>
  <commentList>
    <comment ref="F6" authorId="0">
      <text>
        <r>
          <rPr>
            <b/>
            <sz val="9"/>
            <rFont val="Verdana"/>
            <family val="0"/>
          </rPr>
          <t>unbekannter Teilnehmer:</t>
        </r>
        <r>
          <rPr>
            <sz val="9"/>
            <rFont val="Verdan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<sst xmlns="http://schemas.openxmlformats.org/spreadsheetml/2006/main" count="266" uniqueCount="97">
  <si>
    <t>Gelbe Felder können editierte werden</t>
  </si>
  <si>
    <t>Breite über Alles (BüA)</t>
  </si>
  <si>
    <t>Länge über Alles (LüA)</t>
  </si>
  <si>
    <t>Kelterlack, Aquariensilikon (beides für Futterzargen), Leinöl</t>
  </si>
  <si>
    <t>Betonsockel</t>
  </si>
  <si>
    <t>Fundamentbalken</t>
  </si>
  <si>
    <t>(Platz für eingeschl. Plane zw. Deckelrand und Beute)</t>
  </si>
  <si>
    <t>Anzahl Beuten:</t>
  </si>
  <si>
    <t>Beutenteil</t>
  </si>
  <si>
    <t>Bauteil</t>
  </si>
  <si>
    <t>Material</t>
  </si>
  <si>
    <t>Stk/Bauteil</t>
  </si>
  <si>
    <t>Stk/Beute</t>
  </si>
  <si>
    <t>Stk Ges</t>
  </si>
  <si>
    <t>Rähmchenbreite:</t>
  </si>
  <si>
    <t>Rähmchen</t>
  </si>
  <si>
    <t>B x</t>
  </si>
  <si>
    <t>T/L</t>
  </si>
  <si>
    <t>Rähmchenhöhe halb:</t>
  </si>
  <si>
    <t>Rähmchenhöhe ganz:</t>
  </si>
  <si>
    <t>Beespace</t>
  </si>
  <si>
    <t>Leimholzdicke</t>
  </si>
  <si>
    <t>Rähmchenlänge</t>
  </si>
  <si>
    <t>H Bodenkantholz groß</t>
  </si>
  <si>
    <t>B Bodenkantholz groß</t>
  </si>
  <si>
    <t>H Bodenkantholz klein</t>
  </si>
  <si>
    <t>B Bodenkantholz klein</t>
  </si>
  <si>
    <t>Deckelspiel</t>
  </si>
  <si>
    <t>Fluglochbreite</t>
  </si>
  <si>
    <t>Anzahl Rähmchen/Zarge:</t>
  </si>
  <si>
    <t>Vorne/Hinten</t>
  </si>
  <si>
    <t>Leimholz</t>
  </si>
  <si>
    <t>Seite</t>
  </si>
  <si>
    <t>x</t>
  </si>
  <si>
    <t>Schrauben</t>
  </si>
  <si>
    <t>Spax</t>
  </si>
  <si>
    <t>Rähmchen Ganz</t>
  </si>
  <si>
    <t>Rähmchen Halb</t>
  </si>
  <si>
    <t>Bausatz</t>
  </si>
  <si>
    <t>Boden</t>
  </si>
  <si>
    <t>Kantholz gr Seiten</t>
  </si>
  <si>
    <t>Kantholz gr v/h</t>
  </si>
  <si>
    <t>Kantholz gr</t>
  </si>
  <si>
    <t>Kantholz kl v/h</t>
  </si>
  <si>
    <t>Kantholz kl</t>
  </si>
  <si>
    <t>Kantholz kl Seiten</t>
  </si>
  <si>
    <t>Kantholz kl hinten</t>
  </si>
  <si>
    <t>Kantholz kl vorne</t>
  </si>
  <si>
    <t>Bienengitter</t>
  </si>
  <si>
    <t>Varroagitter</t>
  </si>
  <si>
    <t>Fliegengitter</t>
  </si>
  <si>
    <t>Anflugbrett</t>
  </si>
  <si>
    <t>Maße (mm)</t>
  </si>
  <si>
    <t>Füße</t>
  </si>
  <si>
    <t>Varroabrett</t>
  </si>
  <si>
    <t>Sperrholz</t>
  </si>
  <si>
    <t>Schrauben Boden gr</t>
  </si>
  <si>
    <t>??</t>
  </si>
  <si>
    <t>Schrauben Füße</t>
  </si>
  <si>
    <t>Halter Flubrett</t>
  </si>
  <si>
    <t>Tackerklammern</t>
  </si>
  <si>
    <t>H/D x</t>
  </si>
  <si>
    <t>Innendeckel</t>
  </si>
  <si>
    <t>Rahmen v/h</t>
  </si>
  <si>
    <t>Rahmen Seiten</t>
  </si>
  <si>
    <t>Dämmplatte</t>
  </si>
  <si>
    <t>Kork?/Styropor</t>
  </si>
  <si>
    <t>Außendeckel</t>
  </si>
  <si>
    <t>Deckplatte</t>
  </si>
  <si>
    <t>Plane</t>
  </si>
  <si>
    <t>UV-feste Plane</t>
  </si>
  <si>
    <t>Nägel</t>
  </si>
  <si>
    <t>Gurt</t>
  </si>
  <si>
    <t>Futterzarge</t>
  </si>
  <si>
    <t>Seiten</t>
  </si>
  <si>
    <t>Aufstieg</t>
  </si>
  <si>
    <t>Gitter</t>
  </si>
  <si>
    <t>Leimholz + Falz</t>
  </si>
  <si>
    <t>Leimholz + Nut</t>
  </si>
  <si>
    <t>Leimholz + 1 x Nut</t>
  </si>
  <si>
    <t>Folie</t>
  </si>
  <si>
    <t>Griffe</t>
  </si>
  <si>
    <t>Baut./Beute</t>
  </si>
  <si>
    <t>Mäusegitter</t>
  </si>
  <si>
    <t>Gitter 8mm-Maschen</t>
  </si>
  <si>
    <t>Rähmchen
ganz</t>
  </si>
  <si>
    <t>Rähmchen
halb</t>
  </si>
  <si>
    <t>Stückzahl</t>
  </si>
  <si>
    <t>Nägel (Plane)</t>
  </si>
  <si>
    <t>Rähmchen ganz</t>
  </si>
  <si>
    <t>Rähmchen halb</t>
  </si>
  <si>
    <t xml:space="preserve"> </t>
  </si>
  <si>
    <t>Flachzarge</t>
  </si>
  <si>
    <t>Ganzzarge</t>
  </si>
  <si>
    <t>Absperrgitter</t>
  </si>
  <si>
    <t>Schrauben Zarge</t>
  </si>
  <si>
    <t>Schrauben Griffe</t>
  </si>
</sst>
</file>

<file path=xl/styles.xml><?xml version="1.0" encoding="utf-8"?>
<styleSheet xmlns="http://schemas.openxmlformats.org/spreadsheetml/2006/main">
  <numFmts count="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.00&quot; €&quot;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Verdana"/>
      <family val="0"/>
    </font>
    <font>
      <sz val="10"/>
      <color indexed="10"/>
      <name val="Verdana"/>
      <family val="0"/>
    </font>
    <font>
      <b/>
      <sz val="10"/>
      <color indexed="10"/>
      <name val="Verdana"/>
      <family val="0"/>
    </font>
    <font>
      <sz val="10"/>
      <color indexed="22"/>
      <name val="Verdana"/>
      <family val="0"/>
    </font>
    <font>
      <sz val="10"/>
      <color indexed="23"/>
      <name val="Verdana"/>
      <family val="0"/>
    </font>
    <font>
      <b/>
      <sz val="12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b/>
      <sz val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6" fillId="2" borderId="0" xfId="0" applyFont="1" applyFill="1" applyBorder="1" applyAlignment="1">
      <alignment/>
    </xf>
    <xf numFmtId="0" fontId="1" fillId="0" borderId="0" xfId="0" applyFont="1" applyBorder="1" applyAlignment="1">
      <alignment textRotation="90"/>
    </xf>
    <xf numFmtId="0" fontId="1" fillId="0" borderId="0" xfId="0" applyFont="1" applyBorder="1" applyAlignment="1">
      <alignment/>
    </xf>
    <xf numFmtId="0" fontId="6" fillId="3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0" fillId="3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5" xfId="0" applyBorder="1" applyAlignment="1">
      <alignment/>
    </xf>
    <xf numFmtId="0" fontId="1" fillId="0" borderId="2" xfId="0" applyFont="1" applyBorder="1" applyAlignment="1">
      <alignment textRotation="90" wrapText="1"/>
    </xf>
    <xf numFmtId="0" fontId="1" fillId="0" borderId="2" xfId="0" applyFont="1" applyBorder="1" applyAlignment="1">
      <alignment textRotation="90"/>
    </xf>
    <xf numFmtId="0" fontId="7" fillId="0" borderId="0" xfId="0" applyFont="1" applyAlignment="1">
      <alignment/>
    </xf>
    <xf numFmtId="0" fontId="8" fillId="0" borderId="0" xfId="0" applyFont="1" applyBorder="1" applyAlignment="1">
      <alignment textRotation="90"/>
    </xf>
    <xf numFmtId="0" fontId="7" fillId="3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0" borderId="2" xfId="0" applyBorder="1" applyAlignment="1">
      <alignment textRotation="90"/>
    </xf>
    <xf numFmtId="0" fontId="0" fillId="0" borderId="2" xfId="0" applyBorder="1" applyAlignment="1">
      <alignment vertical="top" textRotation="90"/>
    </xf>
    <xf numFmtId="0" fontId="9" fillId="0" borderId="2" xfId="0" applyFont="1" applyBorder="1" applyAlignment="1">
      <alignment vertical="top"/>
    </xf>
    <xf numFmtId="0" fontId="9" fillId="3" borderId="3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 vertical="top" textRotation="90"/>
    </xf>
    <xf numFmtId="0" fontId="9" fillId="3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3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10" fillId="0" borderId="2" xfId="0" applyFont="1" applyFill="1" applyBorder="1" applyAlignment="1">
      <alignment vertical="top" textRotation="90"/>
    </xf>
    <xf numFmtId="0" fontId="10" fillId="0" borderId="2" xfId="0" applyFont="1" applyBorder="1" applyAlignment="1">
      <alignment vertical="top" textRotation="90"/>
    </xf>
    <xf numFmtId="0" fontId="11" fillId="0" borderId="0" xfId="0" applyFont="1" applyAlignment="1">
      <alignment horizontal="center" textRotation="90"/>
    </xf>
    <xf numFmtId="0" fontId="1" fillId="0" borderId="2" xfId="0" applyFont="1" applyBorder="1" applyAlignment="1">
      <alignment horizontal="right"/>
    </xf>
    <xf numFmtId="0" fontId="0" fillId="0" borderId="2" xfId="0" applyFont="1" applyBorder="1" applyAlignment="1">
      <alignment textRotation="90" wrapText="1"/>
    </xf>
    <xf numFmtId="0" fontId="10" fillId="0" borderId="2" xfId="0" applyFont="1" applyBorder="1" applyAlignment="1">
      <alignment textRotation="90" wrapText="1"/>
    </xf>
    <xf numFmtId="0" fontId="0" fillId="0" borderId="2" xfId="0" applyFont="1" applyBorder="1" applyAlignment="1">
      <alignment textRotation="90" wrapText="1"/>
    </xf>
    <xf numFmtId="0" fontId="0" fillId="0" borderId="2" xfId="0" applyFont="1" applyFill="1" applyBorder="1" applyAlignment="1">
      <alignment textRotation="90" wrapText="1"/>
    </xf>
    <xf numFmtId="0" fontId="0" fillId="0" borderId="2" xfId="0" applyFont="1" applyBorder="1" applyAlignment="1">
      <alignment textRotation="90"/>
    </xf>
    <xf numFmtId="0" fontId="0" fillId="4" borderId="2" xfId="0" applyFill="1" applyBorder="1" applyAlignment="1">
      <alignment/>
    </xf>
    <xf numFmtId="0" fontId="0" fillId="5" borderId="2" xfId="0" applyFont="1" applyFill="1" applyBorder="1" applyAlignment="1">
      <alignment horizontal="left"/>
    </xf>
    <xf numFmtId="0" fontId="6" fillId="5" borderId="3" xfId="0" applyFont="1" applyFill="1" applyBorder="1" applyAlignment="1">
      <alignment/>
    </xf>
    <xf numFmtId="0" fontId="0" fillId="3" borderId="4" xfId="0" applyFont="1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6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6" borderId="2" xfId="0" applyFill="1" applyBorder="1" applyAlignment="1">
      <alignment/>
    </xf>
    <xf numFmtId="0" fontId="0" fillId="0" borderId="7" xfId="0" applyFont="1" applyFill="1" applyBorder="1" applyAlignment="1">
      <alignment horizontal="left" textRotation="90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9"/>
  <sheetViews>
    <sheetView tabSelected="1" workbookViewId="0" topLeftCell="A1">
      <pane xSplit="12" ySplit="18" topLeftCell="M19" activePane="bottomRight" state="frozen"/>
      <selection pane="topLeft" activeCell="A1" sqref="A1"/>
      <selection pane="topRight" activeCell="M1" sqref="M1"/>
      <selection pane="bottomLeft" activeCell="A19" sqref="A19"/>
      <selection pane="bottomRight" activeCell="G19" sqref="G19"/>
    </sheetView>
  </sheetViews>
  <sheetFormatPr defaultColWidth="11.00390625" defaultRowHeight="12.75"/>
  <cols>
    <col min="1" max="1" width="2.00390625" style="0" customWidth="1"/>
    <col min="2" max="2" width="20.75390625" style="0" customWidth="1"/>
    <col min="3" max="3" width="17.00390625" style="0" customWidth="1"/>
    <col min="4" max="4" width="14.25390625" style="0" customWidth="1"/>
    <col min="5" max="5" width="4.125" style="0" customWidth="1"/>
    <col min="6" max="6" width="2.00390625" style="0" customWidth="1"/>
    <col min="7" max="7" width="3.75390625" style="0" customWidth="1"/>
    <col min="8" max="8" width="2.00390625" style="0" customWidth="1"/>
    <col min="9" max="9" width="4.75390625" style="0" customWidth="1"/>
    <col min="10" max="10" width="3.00390625" style="0" customWidth="1"/>
    <col min="11" max="11" width="4.125" style="0" customWidth="1"/>
    <col min="12" max="12" width="4.875" style="28" customWidth="1"/>
    <col min="13" max="16" width="3.125" style="0" hidden="1" customWidth="1"/>
    <col min="17" max="17" width="4.75390625" style="0" hidden="1" customWidth="1"/>
    <col min="18" max="50" width="3.125" style="0" hidden="1" customWidth="1"/>
    <col min="51" max="195" width="4.75390625" style="0" customWidth="1"/>
    <col min="196" max="196" width="4.875" style="0" customWidth="1"/>
  </cols>
  <sheetData>
    <row r="1" spans="2:4" ht="12.75">
      <c r="B1" s="69" t="s">
        <v>7</v>
      </c>
      <c r="C1" s="60">
        <v>2</v>
      </c>
      <c r="D1" s="66" t="s">
        <v>0</v>
      </c>
    </row>
    <row r="2" spans="2:3" ht="12.75">
      <c r="B2" s="68" t="s">
        <v>29</v>
      </c>
      <c r="C2" s="60">
        <v>8</v>
      </c>
    </row>
    <row r="3" spans="2:3" ht="12.75">
      <c r="B3" s="68" t="s">
        <v>14</v>
      </c>
      <c r="C3" s="60">
        <v>32</v>
      </c>
    </row>
    <row r="4" spans="2:3" ht="12.75">
      <c r="B4" s="68" t="s">
        <v>19</v>
      </c>
      <c r="C4" s="60">
        <v>223</v>
      </c>
    </row>
    <row r="5" spans="2:3" ht="12.75">
      <c r="B5" s="68" t="s">
        <v>18</v>
      </c>
      <c r="C5" s="60">
        <v>110</v>
      </c>
    </row>
    <row r="6" spans="2:3" ht="12.75">
      <c r="B6" s="68" t="s">
        <v>22</v>
      </c>
      <c r="C6" s="60">
        <v>370</v>
      </c>
    </row>
    <row r="7" spans="2:3" ht="12.75">
      <c r="B7" s="68" t="s">
        <v>20</v>
      </c>
      <c r="C7" s="60">
        <v>7</v>
      </c>
    </row>
    <row r="8" spans="2:3" ht="12.75">
      <c r="B8" s="68" t="s">
        <v>21</v>
      </c>
      <c r="C8" s="60">
        <v>18</v>
      </c>
    </row>
    <row r="9" spans="2:3" ht="12.75">
      <c r="B9" s="68" t="s">
        <v>23</v>
      </c>
      <c r="C9" s="60">
        <v>58</v>
      </c>
    </row>
    <row r="10" spans="2:3" ht="12.75">
      <c r="B10" s="68" t="s">
        <v>24</v>
      </c>
      <c r="C10" s="60">
        <v>38</v>
      </c>
    </row>
    <row r="11" spans="2:3" ht="12.75">
      <c r="B11" s="68" t="s">
        <v>25</v>
      </c>
      <c r="C11" s="60">
        <v>17</v>
      </c>
    </row>
    <row r="12" spans="2:9" ht="12.75">
      <c r="B12" s="68" t="s">
        <v>26</v>
      </c>
      <c r="C12" s="60">
        <v>34</v>
      </c>
      <c r="I12" s="4"/>
    </row>
    <row r="13" spans="2:4" ht="12.75">
      <c r="B13" s="68" t="s">
        <v>27</v>
      </c>
      <c r="C13" s="60">
        <v>2</v>
      </c>
      <c r="D13" t="s">
        <v>6</v>
      </c>
    </row>
    <row r="14" spans="2:3" ht="12.75">
      <c r="B14" s="68" t="s">
        <v>28</v>
      </c>
      <c r="C14" s="60">
        <v>70</v>
      </c>
    </row>
    <row r="15" spans="2:3" ht="12.75">
      <c r="B15" s="3" t="s">
        <v>1</v>
      </c>
      <c r="C15" s="3">
        <f>C2*C3+20+2*C8</f>
        <v>312</v>
      </c>
    </row>
    <row r="16" spans="2:3" ht="12.75">
      <c r="B16" s="3" t="s">
        <v>2</v>
      </c>
      <c r="C16" s="3">
        <f>C6+2*C7+2*C8</f>
        <v>420</v>
      </c>
    </row>
    <row r="17" spans="5:50" ht="13.5" customHeight="1">
      <c r="E17" s="67" t="s">
        <v>52</v>
      </c>
      <c r="F17" s="67"/>
      <c r="G17" s="67"/>
      <c r="H17" s="67"/>
      <c r="I17" s="67"/>
      <c r="M17">
        <f>SUM(M19:M68)</f>
        <v>16</v>
      </c>
      <c r="N17">
        <f aca="true" t="shared" si="0" ref="N17:AW17">SUM(N19:N68)</f>
        <v>16</v>
      </c>
      <c r="O17">
        <f t="shared" si="0"/>
        <v>20</v>
      </c>
      <c r="P17">
        <f t="shared" si="0"/>
        <v>64</v>
      </c>
      <c r="Q17">
        <f t="shared" si="0"/>
        <v>316</v>
      </c>
      <c r="R17">
        <f t="shared" si="0"/>
        <v>4</v>
      </c>
      <c r="S17">
        <f t="shared" si="0"/>
        <v>4</v>
      </c>
      <c r="T17">
        <f t="shared" si="0"/>
        <v>0</v>
      </c>
      <c r="U17">
        <f t="shared" si="0"/>
        <v>2</v>
      </c>
      <c r="V17">
        <f t="shared" si="0"/>
        <v>2</v>
      </c>
      <c r="W17">
        <f t="shared" si="0"/>
        <v>2</v>
      </c>
      <c r="X17">
        <f t="shared" si="0"/>
        <v>4</v>
      </c>
      <c r="Y17">
        <f t="shared" si="0"/>
        <v>4</v>
      </c>
      <c r="Z17">
        <f t="shared" si="0"/>
        <v>0</v>
      </c>
      <c r="AA17">
        <f t="shared" si="0"/>
        <v>4</v>
      </c>
      <c r="AB17">
        <f t="shared" si="0"/>
        <v>2</v>
      </c>
      <c r="AC17">
        <f t="shared" si="0"/>
        <v>2</v>
      </c>
      <c r="AD17">
        <f t="shared" si="0"/>
        <v>4</v>
      </c>
      <c r="AE17">
        <f t="shared" si="0"/>
        <v>2</v>
      </c>
      <c r="AF17">
        <f t="shared" si="0"/>
        <v>2</v>
      </c>
      <c r="AG17">
        <f t="shared" si="0"/>
        <v>2</v>
      </c>
      <c r="AH17">
        <f t="shared" si="0"/>
        <v>8</v>
      </c>
      <c r="AI17">
        <f t="shared" si="0"/>
        <v>2</v>
      </c>
      <c r="AJ17">
        <f t="shared" si="0"/>
        <v>8</v>
      </c>
      <c r="AK17">
        <f t="shared" si="0"/>
        <v>16</v>
      </c>
      <c r="AL17">
        <f t="shared" si="0"/>
        <v>4</v>
      </c>
      <c r="AM17">
        <f t="shared" si="0"/>
        <v>120</v>
      </c>
      <c r="AN17">
        <f t="shared" si="0"/>
        <v>4</v>
      </c>
      <c r="AO17">
        <f t="shared" si="0"/>
        <v>2</v>
      </c>
      <c r="AP17">
        <f t="shared" si="0"/>
        <v>2</v>
      </c>
      <c r="AQ17">
        <f t="shared" si="0"/>
        <v>2</v>
      </c>
      <c r="AR17">
        <f t="shared" si="0"/>
        <v>4</v>
      </c>
      <c r="AS17">
        <f t="shared" si="0"/>
        <v>4</v>
      </c>
      <c r="AT17">
        <f t="shared" si="0"/>
        <v>2</v>
      </c>
      <c r="AU17">
        <f t="shared" si="0"/>
        <v>2</v>
      </c>
      <c r="AV17">
        <f t="shared" si="0"/>
        <v>40</v>
      </c>
      <c r="AW17">
        <f t="shared" si="0"/>
        <v>2</v>
      </c>
      <c r="AX17">
        <f>SUM(AX19:AX68)</f>
        <v>96</v>
      </c>
    </row>
    <row r="18" spans="1:196" s="1" customFormat="1" ht="93" customHeight="1">
      <c r="A18" s="5" t="s">
        <v>82</v>
      </c>
      <c r="B18" s="6" t="s">
        <v>8</v>
      </c>
      <c r="C18" s="6" t="s">
        <v>9</v>
      </c>
      <c r="D18" s="6" t="s">
        <v>10</v>
      </c>
      <c r="E18" s="6" t="s">
        <v>61</v>
      </c>
      <c r="F18" s="6"/>
      <c r="G18" s="6" t="s">
        <v>16</v>
      </c>
      <c r="H18" s="6"/>
      <c r="I18" s="6" t="s">
        <v>17</v>
      </c>
      <c r="J18" s="5" t="s">
        <v>11</v>
      </c>
      <c r="K18" s="5" t="s">
        <v>12</v>
      </c>
      <c r="L18" s="29" t="s">
        <v>13</v>
      </c>
      <c r="M18" s="26" t="str">
        <f>"Leimholz 
"&amp;Bauteile!$G$19&amp;"x"&amp;Bauteile!$I$19</f>
        <v>Leimholz 
232x276</v>
      </c>
      <c r="N18" s="26" t="str">
        <f>"Leimholz "&amp;+Bauteile!$G$20&amp;"x"&amp;Bauteile!$I$20</f>
        <v>Leimholz 232x420</v>
      </c>
      <c r="O18" s="26" t="str">
        <f>"Kantholz "&amp;+Bauteile!$C$11&amp;"x"&amp;Bauteile!$C$12&amp;"x"&amp;Bauteile!$I$21</f>
        <v>Kantholz 17x34x120</v>
      </c>
      <c r="P18" s="26" t="s">
        <v>85</v>
      </c>
      <c r="Q18" s="27" t="str">
        <f>"Spax "&amp;Bauteile!$G$24&amp;"x"&amp;Bauteile!$I$24</f>
        <v>Spax 3,5x40</v>
      </c>
      <c r="R18" s="26" t="str">
        <f>"Leimholz
"&amp;Bauteile!$G$25&amp;"x"&amp;Bauteile!$I$25</f>
        <v>Leimholz
119x276</v>
      </c>
      <c r="S18" s="26" t="str">
        <f>"Leimholz
"&amp;Bauteile!$G$26&amp;"x"&amp;Bauteile!$I$26</f>
        <v>Leimholz
119x420</v>
      </c>
      <c r="T18" s="26" t="s">
        <v>86</v>
      </c>
      <c r="U18" s="26" t="str">
        <f>"Leimholz "&amp;Bauteile!$G$33&amp;"x"&amp;Bauteile!$I$33</f>
        <v>Leimholz 100x276</v>
      </c>
      <c r="V18" s="26" t="str">
        <f>"Sperrhoz 8mm
"&amp;Bauteile!$G$35&amp;"x"&amp;Bauteile!$I$35</f>
        <v>Sperrhoz 8mm
286x361</v>
      </c>
      <c r="W18" s="26" t="str">
        <f>"Fliegengitter
"&amp;Bauteile!$G$38&amp;"x"&amp;Bauteile!$I$38</f>
        <v>Fliegengitter
280x152</v>
      </c>
      <c r="X18" s="26" t="str">
        <f>"Kantholz "&amp;Bauteile!$C$9&amp;"x"&amp;Bauteile!$C$10&amp;"x"&amp;Bauteile!$I$39</f>
        <v>Kantholz 58x38x312</v>
      </c>
      <c r="Y18" s="26" t="str">
        <f>"Kantholz "&amp;Bauteile!$C$9&amp;"x"&amp;Bauteile!$C$10&amp;"x"&amp;Bauteile!$I$40</f>
        <v>Kantholz 58x38x344</v>
      </c>
      <c r="Z18" s="26"/>
      <c r="AA18" s="26" t="str">
        <f>"Kantholz "&amp;+Bauteile!$C$11&amp;"x"&amp;Bauteile!$C$12&amp;"x"&amp;Bauteile!$I$41</f>
        <v>Kantholz 17x34x420</v>
      </c>
      <c r="AB18" s="26" t="str">
        <f>"Kantholz "&amp;+Bauteile!$C$11&amp;"x"&amp;Bauteile!$C$12&amp;"x"&amp;Bauteile!$I$42</f>
        <v>Kantholz 17x34x244</v>
      </c>
      <c r="AC18" s="26" t="str">
        <f>"Kantholz "&amp;+Bauteile!$C$11&amp;"x"&amp;Bauteile!$C$12&amp;"x"&amp;Bauteile!$I$43</f>
        <v>Kantholz 17x34x174</v>
      </c>
      <c r="AD18" s="26" t="str">
        <f>"Kantholz "&amp;+Bauteile!$C$11&amp;"x"&amp;Bauteile!$C$12&amp;"x"&amp;Bauteile!$I$54</f>
        <v>Kantholz 17x34x312</v>
      </c>
      <c r="AE18" s="26" t="str">
        <f>"Bodengitter "&amp;+Bauteile!$G$44&amp;"x"&amp;Bauteile!$I$44</f>
        <v>Bodengitter 292x400</v>
      </c>
      <c r="AF18" s="26" t="str">
        <f>"8mm-Gitter
"&amp;Bauteile!$G$45&amp;"x"&amp;Bauteile!$I$45</f>
        <v>8mm-Gitter
292x400</v>
      </c>
      <c r="AG18" s="26" t="str">
        <f>"Sperrhoz 8mm
"&amp;Bauteile!$G$46&amp;"x"&amp;Bauteile!$I$46</f>
        <v>Sperrhoz 8mm
346x120</v>
      </c>
      <c r="AH18" s="26" t="str">
        <f>"Kantholz "&amp;+Bauteile!$C$11&amp;"x"&amp;Bauteile!$C$12&amp;"x"&amp;Bauteile!$I$47</f>
        <v>Kantholz 17x34x68</v>
      </c>
      <c r="AI18" s="26" t="str">
        <f>"Sperrhoz 8mm
"&amp;Bauteile!$G$48&amp;"x"&amp;Bauteile!$I$48</f>
        <v>Sperrhoz 8mm
244x364</v>
      </c>
      <c r="AJ18" s="26" t="str">
        <f>"Spax Schrauben
"&amp;Bauteile!$G$49&amp;"x"&amp;Bauteile!$I$49</f>
        <v>Spax Schrauben
??x78</v>
      </c>
      <c r="AK18" s="26" t="str">
        <f>"Spax Schrauben
"&amp;Bauteile!$G$50&amp;"x"&amp;Bauteile!$I$50</f>
        <v>Spax Schrauben
??x88</v>
      </c>
      <c r="AL18" s="26" t="str">
        <f>"Kantholz "&amp;+Bauteile!$C$11&amp;"x"&amp;Bauteile!$C$12&amp;"x"&amp;Bauteile!$I$51</f>
        <v>Kantholz 17x34x200</v>
      </c>
      <c r="AM18" s="26" t="s">
        <v>60</v>
      </c>
      <c r="AN18" s="26" t="str">
        <f>"Kantholz "&amp;+Bauteile!$C$11&amp;"x"&amp;Bauteile!$C$12&amp;"x"&amp;Bauteile!$I$55</f>
        <v>Kantholz 17x34x352</v>
      </c>
      <c r="AO18" s="26" t="str">
        <f>"Fliegengitter
"&amp;Bauteile!$G$56&amp;"x"&amp;Bauteile!$I$56</f>
        <v>Fliegengitter
359x467</v>
      </c>
      <c r="AP18" s="26" t="str">
        <f>"Korkplatte
"&amp;Bauteile!$G$57&amp;"x"&amp;Bauteile!$I$57</f>
        <v>Korkplatte
242x352</v>
      </c>
      <c r="AQ18" s="26" t="str">
        <f>"Folie
"&amp;Bauteile!$G58&amp;"x"&amp;Bauteile!$I$58</f>
        <v>Folie
276x384</v>
      </c>
      <c r="AR18" s="26" t="str">
        <f>"Kantholz "&amp;+Bauteile!$C$11&amp;"x"&amp;Bauteile!$C$12&amp;"x"&amp;Bauteile!$I$61</f>
        <v>Kantholz 17x34x350</v>
      </c>
      <c r="AS18" s="26" t="str">
        <f>"Kantholz "&amp;+Bauteile!$C$11&amp;"x"&amp;Bauteile!$C$12&amp;"x"&amp;Bauteile!$I$62</f>
        <v>Kantholz 17x34x424</v>
      </c>
      <c r="AT18" s="26" t="str">
        <f>"Sperrhoz 8mm
"&amp;Bauteile!$G$63&amp;"x"&amp;Bauteile!$I$63</f>
        <v>Sperrhoz 8mm
350x458</v>
      </c>
      <c r="AU18" s="26" t="str">
        <f>"UV-feste Plane
"&amp;Bauteile!$G$64&amp;"x"&amp;Bauteile!$I$64</f>
        <v>UV-feste Plane
486x594</v>
      </c>
      <c r="AV18" s="26" t="s">
        <v>88</v>
      </c>
      <c r="AW18" s="26" t="str">
        <f>"Gurt "&amp;Bauteile!$I$68</f>
        <v>Gurt 3996</v>
      </c>
      <c r="AX18" s="26" t="str">
        <f>"Spax
"&amp;Bauteile!$G$23&amp;"x"&amp;Bauteile!$I$23</f>
        <v>Spax
3x&lt;34</v>
      </c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</row>
    <row r="19" spans="1:254" ht="12.75">
      <c r="A19" s="61">
        <v>4</v>
      </c>
      <c r="B19" s="9" t="s">
        <v>93</v>
      </c>
      <c r="C19" s="9" t="s">
        <v>30</v>
      </c>
      <c r="D19" s="9" t="s">
        <v>77</v>
      </c>
      <c r="E19" s="10">
        <f>$C$8</f>
        <v>18</v>
      </c>
      <c r="F19" s="11" t="s">
        <v>33</v>
      </c>
      <c r="G19" s="10">
        <f>$C$4+$C$7+2</f>
        <v>232</v>
      </c>
      <c r="H19" s="11" t="s">
        <v>33</v>
      </c>
      <c r="I19" s="10">
        <f>$C$15-2*$C$8</f>
        <v>276</v>
      </c>
      <c r="J19" s="10">
        <v>2</v>
      </c>
      <c r="K19" s="10">
        <f aca="true" t="shared" si="1" ref="K19:K24">$A$19*J19</f>
        <v>8</v>
      </c>
      <c r="L19" s="30">
        <f>K19*$C$1</f>
        <v>16</v>
      </c>
      <c r="M19" s="22">
        <f>Bauteile!$L$19</f>
        <v>16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Y19" s="22"/>
      <c r="Z19" s="22"/>
      <c r="AA19" s="22"/>
      <c r="AB19" s="22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</row>
    <row r="20" spans="1:254" ht="12.75">
      <c r="A20" s="8"/>
      <c r="B20" s="9" t="s">
        <v>93</v>
      </c>
      <c r="C20" s="8" t="s">
        <v>32</v>
      </c>
      <c r="D20" s="8" t="s">
        <v>31</v>
      </c>
      <c r="E20" s="8">
        <f>E19</f>
        <v>18</v>
      </c>
      <c r="F20" s="8" t="s">
        <v>33</v>
      </c>
      <c r="G20" s="8">
        <f>G19</f>
        <v>232</v>
      </c>
      <c r="H20" s="8" t="s">
        <v>33</v>
      </c>
      <c r="I20" s="8">
        <f>$C$16</f>
        <v>420</v>
      </c>
      <c r="J20" s="8">
        <v>2</v>
      </c>
      <c r="K20" s="8">
        <f t="shared" si="1"/>
        <v>8</v>
      </c>
      <c r="L20" s="31">
        <f aca="true" t="shared" si="2" ref="L20:L68">K20*$C$1</f>
        <v>16</v>
      </c>
      <c r="M20" s="21"/>
      <c r="N20" s="21">
        <f>Bauteile!$L$20</f>
        <v>16</v>
      </c>
      <c r="O20" s="21"/>
      <c r="P20" s="21"/>
      <c r="Q20" s="21"/>
      <c r="R20" s="21"/>
      <c r="S20" s="21"/>
      <c r="T20" s="21"/>
      <c r="U20" s="21"/>
      <c r="V20" s="21"/>
      <c r="W20" s="21"/>
      <c r="Y20" s="21"/>
      <c r="Z20" s="21"/>
      <c r="AA20" s="21"/>
      <c r="AB20" s="21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</row>
    <row r="21" spans="1:254" ht="12.75">
      <c r="A21" s="7"/>
      <c r="B21" s="9" t="s">
        <v>93</v>
      </c>
      <c r="C21" s="7" t="s">
        <v>81</v>
      </c>
      <c r="D21" s="7" t="s">
        <v>44</v>
      </c>
      <c r="E21" s="7">
        <f>$C$11</f>
        <v>17</v>
      </c>
      <c r="F21" s="7" t="s">
        <v>33</v>
      </c>
      <c r="G21" s="7">
        <f>$C$12</f>
        <v>34</v>
      </c>
      <c r="H21" s="7" t="s">
        <v>33</v>
      </c>
      <c r="I21" s="7">
        <v>120</v>
      </c>
      <c r="J21" s="7">
        <v>2</v>
      </c>
      <c r="K21" s="7">
        <f t="shared" si="1"/>
        <v>8</v>
      </c>
      <c r="L21" s="32">
        <f t="shared" si="2"/>
        <v>16</v>
      </c>
      <c r="M21" s="22"/>
      <c r="N21" s="22"/>
      <c r="O21" s="22">
        <f>Bauteile!$L$21</f>
        <v>16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</row>
    <row r="22" spans="1:254" ht="12.75">
      <c r="A22" s="8"/>
      <c r="B22" s="9" t="s">
        <v>93</v>
      </c>
      <c r="C22" s="8" t="s">
        <v>36</v>
      </c>
      <c r="D22" s="8" t="s">
        <v>15</v>
      </c>
      <c r="E22" s="8">
        <f>$C$4</f>
        <v>223</v>
      </c>
      <c r="F22" s="8" t="s">
        <v>33</v>
      </c>
      <c r="G22" s="8">
        <f>$C$3</f>
        <v>32</v>
      </c>
      <c r="H22" s="8" t="s">
        <v>33</v>
      </c>
      <c r="I22" s="8">
        <f>$C$6</f>
        <v>370</v>
      </c>
      <c r="J22" s="8">
        <f>$C$2</f>
        <v>8</v>
      </c>
      <c r="K22" s="8">
        <f t="shared" si="1"/>
        <v>32</v>
      </c>
      <c r="L22" s="31">
        <f t="shared" si="2"/>
        <v>64</v>
      </c>
      <c r="M22" s="21"/>
      <c r="N22" s="21"/>
      <c r="O22" s="21"/>
      <c r="P22" s="21">
        <f>Bauteile!$L$22</f>
        <v>64</v>
      </c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</row>
    <row r="23" spans="1:254" ht="12.75">
      <c r="A23" s="64"/>
      <c r="B23" s="9" t="s">
        <v>93</v>
      </c>
      <c r="C23" s="64" t="s">
        <v>96</v>
      </c>
      <c r="D23" s="64" t="s">
        <v>35</v>
      </c>
      <c r="E23" s="64"/>
      <c r="F23" s="64"/>
      <c r="G23" s="65">
        <v>3</v>
      </c>
      <c r="H23" s="64" t="s">
        <v>33</v>
      </c>
      <c r="I23" s="65" t="str">
        <f>"&lt;"&amp;$C$11+$C$8-1</f>
        <v>&lt;34</v>
      </c>
      <c r="J23" s="64">
        <v>4</v>
      </c>
      <c r="K23" s="8">
        <f t="shared" si="1"/>
        <v>16</v>
      </c>
      <c r="L23" s="31">
        <f t="shared" si="2"/>
        <v>32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>
        <f>Bauteile!$L$23</f>
        <v>32</v>
      </c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</row>
    <row r="24" spans="1:254" s="1" customFormat="1" ht="13.5" thickBot="1">
      <c r="A24" s="13"/>
      <c r="B24" s="63" t="s">
        <v>93</v>
      </c>
      <c r="C24" s="13" t="s">
        <v>95</v>
      </c>
      <c r="D24" s="13" t="s">
        <v>35</v>
      </c>
      <c r="E24" s="13"/>
      <c r="F24" s="13"/>
      <c r="G24" s="13">
        <v>3.5</v>
      </c>
      <c r="H24" s="13" t="s">
        <v>33</v>
      </c>
      <c r="I24" s="13">
        <v>40</v>
      </c>
      <c r="J24" s="13">
        <v>28</v>
      </c>
      <c r="K24" s="13">
        <f t="shared" si="1"/>
        <v>112</v>
      </c>
      <c r="L24" s="33">
        <f t="shared" si="2"/>
        <v>224</v>
      </c>
      <c r="M24" s="22"/>
      <c r="N24" s="22"/>
      <c r="O24" s="22"/>
      <c r="P24" s="22"/>
      <c r="Q24" s="22">
        <f>Bauteile!$L$24</f>
        <v>224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</row>
    <row r="25" spans="1:254" s="2" customFormat="1" ht="13.5" thickTop="1">
      <c r="A25" s="62">
        <v>0</v>
      </c>
      <c r="B25" s="12" t="s">
        <v>92</v>
      </c>
      <c r="C25" s="12" t="s">
        <v>30</v>
      </c>
      <c r="D25" s="12" t="s">
        <v>77</v>
      </c>
      <c r="E25" s="12">
        <f>$C$8</f>
        <v>18</v>
      </c>
      <c r="F25" s="12" t="s">
        <v>33</v>
      </c>
      <c r="G25" s="12">
        <f>$C$5+$C$7+2</f>
        <v>119</v>
      </c>
      <c r="H25" s="12" t="s">
        <v>33</v>
      </c>
      <c r="I25" s="12">
        <f>$C$15-2*$C$8</f>
        <v>276</v>
      </c>
      <c r="J25" s="12">
        <v>2</v>
      </c>
      <c r="K25" s="12">
        <f>$A$25*J25</f>
        <v>0</v>
      </c>
      <c r="L25" s="34">
        <f t="shared" si="2"/>
        <v>0</v>
      </c>
      <c r="M25" s="21"/>
      <c r="N25" s="21"/>
      <c r="O25" s="21"/>
      <c r="P25" s="21"/>
      <c r="Q25" s="21"/>
      <c r="R25" s="21">
        <f>Bauteile!$L$25</f>
        <v>0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</row>
    <row r="26" spans="1:254" ht="12.75">
      <c r="A26" s="7"/>
      <c r="B26" s="12" t="s">
        <v>92</v>
      </c>
      <c r="C26" s="7" t="s">
        <v>32</v>
      </c>
      <c r="D26" s="7" t="s">
        <v>31</v>
      </c>
      <c r="E26" s="7">
        <f>E25</f>
        <v>18</v>
      </c>
      <c r="F26" s="7" t="s">
        <v>33</v>
      </c>
      <c r="G26" s="7">
        <f>G25</f>
        <v>119</v>
      </c>
      <c r="H26" s="7" t="s">
        <v>33</v>
      </c>
      <c r="I26" s="7">
        <f>$C$16</f>
        <v>420</v>
      </c>
      <c r="J26" s="7">
        <v>2</v>
      </c>
      <c r="K26" s="7">
        <f>$A$25*J26</f>
        <v>0</v>
      </c>
      <c r="L26" s="32">
        <f t="shared" si="2"/>
        <v>0</v>
      </c>
      <c r="M26" s="22"/>
      <c r="N26" s="22"/>
      <c r="O26" s="22"/>
      <c r="P26" s="22"/>
      <c r="Q26" s="22"/>
      <c r="R26" s="22"/>
      <c r="S26" s="22">
        <f>Bauteile!$L$26</f>
        <v>0</v>
      </c>
      <c r="T26" s="22"/>
      <c r="U26" s="22"/>
      <c r="V26" s="22"/>
      <c r="W26" s="22"/>
      <c r="X26" s="22"/>
      <c r="Y26" s="22"/>
      <c r="Z26" s="22"/>
      <c r="AA26" s="22"/>
      <c r="AB26" s="22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</row>
    <row r="27" spans="1:254" ht="12.75">
      <c r="A27" s="8"/>
      <c r="B27" s="12" t="s">
        <v>92</v>
      </c>
      <c r="C27" s="8" t="s">
        <v>81</v>
      </c>
      <c r="D27" s="8" t="s">
        <v>44</v>
      </c>
      <c r="E27" s="8">
        <f>$C$11</f>
        <v>17</v>
      </c>
      <c r="F27" s="8" t="s">
        <v>33</v>
      </c>
      <c r="G27" s="8">
        <f>$C$12</f>
        <v>34</v>
      </c>
      <c r="H27" s="8" t="s">
        <v>33</v>
      </c>
      <c r="I27" s="8">
        <v>120</v>
      </c>
      <c r="J27" s="8">
        <v>2</v>
      </c>
      <c r="K27" s="8">
        <f>$A$25*J27</f>
        <v>0</v>
      </c>
      <c r="L27" s="31">
        <f t="shared" si="2"/>
        <v>0</v>
      </c>
      <c r="M27" s="21"/>
      <c r="N27" s="21"/>
      <c r="O27" s="21">
        <f>Bauteile!$L$27</f>
        <v>0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</row>
    <row r="28" spans="1:254" ht="12.75">
      <c r="A28" s="7"/>
      <c r="B28" s="12" t="s">
        <v>92</v>
      </c>
      <c r="C28" s="7" t="s">
        <v>37</v>
      </c>
      <c r="D28" s="7" t="s">
        <v>38</v>
      </c>
      <c r="E28" s="7">
        <f>$C$5</f>
        <v>110</v>
      </c>
      <c r="F28" s="7" t="s">
        <v>33</v>
      </c>
      <c r="G28" s="7">
        <f>$C$3</f>
        <v>32</v>
      </c>
      <c r="H28" s="7" t="s">
        <v>33</v>
      </c>
      <c r="I28" s="7">
        <f>$C$6</f>
        <v>370</v>
      </c>
      <c r="J28" s="7">
        <f>$C$2</f>
        <v>8</v>
      </c>
      <c r="K28" s="7">
        <f>$A$25*J28</f>
        <v>0</v>
      </c>
      <c r="L28" s="32">
        <f t="shared" si="2"/>
        <v>0</v>
      </c>
      <c r="M28" s="22"/>
      <c r="N28" s="22"/>
      <c r="O28" s="22"/>
      <c r="P28" s="22"/>
      <c r="Q28" s="22"/>
      <c r="R28" s="22"/>
      <c r="S28" s="22"/>
      <c r="T28" s="22">
        <f>Bauteile!$L$28</f>
        <v>0</v>
      </c>
      <c r="U28" s="22"/>
      <c r="V28" s="22"/>
      <c r="W28" s="22"/>
      <c r="X28" s="22"/>
      <c r="Y28" s="22"/>
      <c r="Z28" s="22"/>
      <c r="AA28" s="22"/>
      <c r="AB28" s="22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</row>
    <row r="29" spans="1:254" ht="12.75">
      <c r="A29" s="64"/>
      <c r="B29" s="15" t="s">
        <v>73</v>
      </c>
      <c r="C29" s="64" t="s">
        <v>96</v>
      </c>
      <c r="D29" s="64" t="s">
        <v>35</v>
      </c>
      <c r="E29" s="64"/>
      <c r="F29" s="64"/>
      <c r="G29" s="65">
        <v>3</v>
      </c>
      <c r="H29" s="64" t="s">
        <v>33</v>
      </c>
      <c r="I29" s="65" t="str">
        <f>"&lt;"&amp;$C$11+$C$8-1</f>
        <v>&lt;34</v>
      </c>
      <c r="J29" s="64">
        <v>4</v>
      </c>
      <c r="K29" s="8">
        <f>$A$19*J29</f>
        <v>16</v>
      </c>
      <c r="L29" s="31">
        <f t="shared" si="2"/>
        <v>32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>
        <f>Bauteile!$L$29</f>
        <v>32</v>
      </c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</row>
    <row r="30" spans="1:254" s="1" customFormat="1" ht="13.5" thickBot="1">
      <c r="A30" s="14"/>
      <c r="B30" s="14" t="s">
        <v>92</v>
      </c>
      <c r="C30" s="14" t="s">
        <v>34</v>
      </c>
      <c r="D30" s="14" t="s">
        <v>35</v>
      </c>
      <c r="E30" s="14"/>
      <c r="F30" s="14"/>
      <c r="G30" s="14">
        <v>3.5</v>
      </c>
      <c r="H30" s="14" t="s">
        <v>33</v>
      </c>
      <c r="I30" s="14">
        <v>40</v>
      </c>
      <c r="J30" s="14">
        <v>16</v>
      </c>
      <c r="K30" s="14">
        <f>$A$25*J30</f>
        <v>0</v>
      </c>
      <c r="L30" s="35">
        <f t="shared" si="2"/>
        <v>0</v>
      </c>
      <c r="M30" s="21"/>
      <c r="N30" s="21"/>
      <c r="O30" s="21"/>
      <c r="P30" s="21"/>
      <c r="Q30" s="21">
        <f>Bauteile!$L$30</f>
        <v>0</v>
      </c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</row>
    <row r="31" spans="1:254" ht="13.5" thickTop="1">
      <c r="A31" s="62">
        <v>1</v>
      </c>
      <c r="B31" s="15" t="s">
        <v>73</v>
      </c>
      <c r="C31" s="15" t="s">
        <v>30</v>
      </c>
      <c r="D31" s="15" t="s">
        <v>79</v>
      </c>
      <c r="E31" s="15">
        <f>$C$8</f>
        <v>18</v>
      </c>
      <c r="F31" s="15" t="s">
        <v>33</v>
      </c>
      <c r="G31" s="15">
        <f>$C$5+$C$7+2</f>
        <v>119</v>
      </c>
      <c r="H31" s="15" t="s">
        <v>33</v>
      </c>
      <c r="I31" s="15">
        <f>$C$15-2*$C$8</f>
        <v>276</v>
      </c>
      <c r="J31" s="15">
        <v>2</v>
      </c>
      <c r="K31" s="15">
        <f aca="true" t="shared" si="3" ref="K31:K38">$A$31*J31</f>
        <v>2</v>
      </c>
      <c r="L31" s="36">
        <f>K31*$C$1</f>
        <v>4</v>
      </c>
      <c r="M31" s="22"/>
      <c r="N31" s="22"/>
      <c r="O31" s="22"/>
      <c r="P31" s="22"/>
      <c r="Q31" s="22"/>
      <c r="R31" s="22">
        <f>Bauteile!$L$31</f>
        <v>4</v>
      </c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</row>
    <row r="32" spans="1:254" ht="12.75">
      <c r="A32" s="8"/>
      <c r="B32" s="15" t="s">
        <v>73</v>
      </c>
      <c r="C32" s="8" t="s">
        <v>74</v>
      </c>
      <c r="D32" s="8" t="s">
        <v>78</v>
      </c>
      <c r="E32" s="8">
        <f>E31</f>
        <v>18</v>
      </c>
      <c r="F32" s="8" t="s">
        <v>33</v>
      </c>
      <c r="G32" s="8">
        <f>$C$5+$C$7+2</f>
        <v>119</v>
      </c>
      <c r="H32" s="8" t="s">
        <v>33</v>
      </c>
      <c r="I32" s="8">
        <f>$C$16</f>
        <v>420</v>
      </c>
      <c r="J32" s="8">
        <v>2</v>
      </c>
      <c r="K32" s="8">
        <f t="shared" si="3"/>
        <v>2</v>
      </c>
      <c r="L32" s="31">
        <f>K32*$C$1</f>
        <v>4</v>
      </c>
      <c r="M32" s="21"/>
      <c r="N32" s="21"/>
      <c r="O32" s="21"/>
      <c r="P32" s="21"/>
      <c r="Q32" s="21"/>
      <c r="R32" s="21"/>
      <c r="S32" s="21">
        <f>Bauteile!$L$32</f>
        <v>4</v>
      </c>
      <c r="T32" s="21"/>
      <c r="U32" s="21"/>
      <c r="V32" s="21"/>
      <c r="W32" s="21"/>
      <c r="X32" s="21"/>
      <c r="Y32" s="21"/>
      <c r="Z32" s="21"/>
      <c r="AA32" s="21"/>
      <c r="AB32" s="21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</row>
    <row r="33" spans="1:254" ht="12.75">
      <c r="A33" s="7"/>
      <c r="B33" s="15" t="s">
        <v>73</v>
      </c>
      <c r="C33" s="7" t="s">
        <v>75</v>
      </c>
      <c r="D33" s="7" t="s">
        <v>78</v>
      </c>
      <c r="E33" s="7">
        <f>E32</f>
        <v>18</v>
      </c>
      <c r="F33" s="7" t="s">
        <v>33</v>
      </c>
      <c r="G33" s="7">
        <f>G31-12-$C$7</f>
        <v>100</v>
      </c>
      <c r="H33" s="7" t="s">
        <v>33</v>
      </c>
      <c r="I33" s="7">
        <f>$C$15-2*$C$8</f>
        <v>276</v>
      </c>
      <c r="J33" s="7">
        <v>1</v>
      </c>
      <c r="K33" s="7">
        <f t="shared" si="3"/>
        <v>1</v>
      </c>
      <c r="L33" s="32">
        <f>K33*$C$1</f>
        <v>2</v>
      </c>
      <c r="M33" s="22"/>
      <c r="N33" s="22"/>
      <c r="O33" s="22"/>
      <c r="P33" s="22"/>
      <c r="Q33" s="22"/>
      <c r="R33" s="22"/>
      <c r="S33" s="22"/>
      <c r="T33" s="22"/>
      <c r="U33" s="22">
        <f>Bauteile!$L$33</f>
        <v>2</v>
      </c>
      <c r="V33" s="22"/>
      <c r="W33" s="22"/>
      <c r="X33" s="22"/>
      <c r="Y33" s="22"/>
      <c r="Z33" s="22"/>
      <c r="AA33" s="22"/>
      <c r="AB33" s="22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</row>
    <row r="34" spans="1:254" ht="12.75">
      <c r="A34" s="8"/>
      <c r="B34" s="15" t="s">
        <v>73</v>
      </c>
      <c r="C34" s="8" t="s">
        <v>81</v>
      </c>
      <c r="D34" s="8" t="s">
        <v>44</v>
      </c>
      <c r="E34" s="8">
        <f>$C$11</f>
        <v>17</v>
      </c>
      <c r="F34" s="8" t="s">
        <v>33</v>
      </c>
      <c r="G34" s="8">
        <f>$C$12</f>
        <v>34</v>
      </c>
      <c r="H34" s="8" t="s">
        <v>33</v>
      </c>
      <c r="I34" s="8">
        <v>120</v>
      </c>
      <c r="J34" s="8">
        <v>2</v>
      </c>
      <c r="K34" s="8">
        <f t="shared" si="3"/>
        <v>2</v>
      </c>
      <c r="L34" s="31">
        <f t="shared" si="2"/>
        <v>4</v>
      </c>
      <c r="M34" s="21"/>
      <c r="N34" s="21"/>
      <c r="O34" s="21">
        <f>Bauteile!$L$34</f>
        <v>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</row>
    <row r="35" spans="1:254" ht="12.75">
      <c r="A35" s="7"/>
      <c r="B35" s="15" t="s">
        <v>73</v>
      </c>
      <c r="C35" s="7" t="s">
        <v>39</v>
      </c>
      <c r="D35" s="7" t="s">
        <v>55</v>
      </c>
      <c r="E35" s="7">
        <v>8</v>
      </c>
      <c r="F35" s="7" t="s">
        <v>33</v>
      </c>
      <c r="G35" s="7">
        <f>$C$2*$C$3+20+10</f>
        <v>286</v>
      </c>
      <c r="H35" s="7" t="s">
        <v>33</v>
      </c>
      <c r="I35" s="7">
        <f>$C$16-3*$C$8-15+10</f>
        <v>361</v>
      </c>
      <c r="J35" s="7">
        <v>1</v>
      </c>
      <c r="K35" s="7">
        <f t="shared" si="3"/>
        <v>1</v>
      </c>
      <c r="L35" s="32">
        <f>K35*$C$1</f>
        <v>2</v>
      </c>
      <c r="M35" s="22"/>
      <c r="N35" s="22"/>
      <c r="O35" s="22"/>
      <c r="P35" s="22"/>
      <c r="Q35" s="22"/>
      <c r="R35" s="22"/>
      <c r="S35" s="22"/>
      <c r="T35" s="22"/>
      <c r="U35" s="22"/>
      <c r="V35" s="22">
        <f>Bauteile!$L$35</f>
        <v>2</v>
      </c>
      <c r="W35" s="22"/>
      <c r="X35" s="22"/>
      <c r="Y35" s="22"/>
      <c r="Z35" s="22"/>
      <c r="AA35" s="22"/>
      <c r="AB35" s="22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</row>
    <row r="36" spans="1:254" ht="12.75">
      <c r="A36" s="64"/>
      <c r="B36" s="15" t="s">
        <v>73</v>
      </c>
      <c r="C36" s="64" t="s">
        <v>96</v>
      </c>
      <c r="D36" s="64" t="s">
        <v>35</v>
      </c>
      <c r="E36" s="64"/>
      <c r="F36" s="64"/>
      <c r="G36" s="65" t="s">
        <v>57</v>
      </c>
      <c r="H36" s="64" t="s">
        <v>33</v>
      </c>
      <c r="I36" s="65" t="str">
        <f>"&lt;"&amp;$C$11+$C$8-1</f>
        <v>&lt;34</v>
      </c>
      <c r="J36" s="64">
        <v>4</v>
      </c>
      <c r="K36" s="8">
        <f>$A$19*J36</f>
        <v>16</v>
      </c>
      <c r="L36" s="31">
        <f t="shared" si="2"/>
        <v>32</v>
      </c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>
        <f>Bauteile!$L$36</f>
        <v>32</v>
      </c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</row>
    <row r="37" spans="1:254" ht="12.75">
      <c r="A37" s="8"/>
      <c r="B37" s="15" t="s">
        <v>73</v>
      </c>
      <c r="C37" s="8" t="s">
        <v>34</v>
      </c>
      <c r="D37" s="8" t="s">
        <v>35</v>
      </c>
      <c r="E37" s="8"/>
      <c r="F37" s="8"/>
      <c r="G37" s="8">
        <v>3.5</v>
      </c>
      <c r="H37" s="8" t="s">
        <v>33</v>
      </c>
      <c r="I37" s="8">
        <v>40</v>
      </c>
      <c r="J37" s="8">
        <v>22</v>
      </c>
      <c r="K37" s="8">
        <f t="shared" si="3"/>
        <v>22</v>
      </c>
      <c r="L37" s="31">
        <f>K37*$C$1</f>
        <v>44</v>
      </c>
      <c r="M37" s="21"/>
      <c r="N37" s="21"/>
      <c r="O37" s="21"/>
      <c r="P37" s="21"/>
      <c r="Q37" s="21">
        <f>Bauteile!$L$37</f>
        <v>44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</row>
    <row r="38" spans="1:254" ht="13.5" thickBot="1">
      <c r="A38" s="13"/>
      <c r="B38" s="13" t="s">
        <v>73</v>
      </c>
      <c r="C38" s="13" t="s">
        <v>76</v>
      </c>
      <c r="D38" s="13" t="s">
        <v>49</v>
      </c>
      <c r="E38" s="13"/>
      <c r="F38" s="13" t="s">
        <v>33</v>
      </c>
      <c r="G38" s="13">
        <f>$C$15-2*$C$8+4</f>
        <v>280</v>
      </c>
      <c r="H38" s="13" t="s">
        <v>33</v>
      </c>
      <c r="I38" s="13">
        <f>$C$5+$C$7-15+30+$C$8+2</f>
        <v>152</v>
      </c>
      <c r="J38" s="13">
        <v>1</v>
      </c>
      <c r="K38" s="13">
        <f t="shared" si="3"/>
        <v>1</v>
      </c>
      <c r="L38" s="33">
        <f>K38*$C$1</f>
        <v>2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>
        <f>Bauteile!$L$38</f>
        <v>2</v>
      </c>
      <c r="X38" s="22"/>
      <c r="Y38" s="22"/>
      <c r="Z38" s="22"/>
      <c r="AA38" s="22"/>
      <c r="AB38" s="22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</row>
    <row r="39" spans="1:254" ht="13.5" thickTop="1">
      <c r="A39" s="62">
        <v>1</v>
      </c>
      <c r="B39" s="12" t="s">
        <v>39</v>
      </c>
      <c r="C39" s="12" t="s">
        <v>41</v>
      </c>
      <c r="D39" s="12" t="s">
        <v>42</v>
      </c>
      <c r="E39" s="12">
        <f>$C$9</f>
        <v>58</v>
      </c>
      <c r="F39" s="12" t="s">
        <v>33</v>
      </c>
      <c r="G39" s="12">
        <f>$C$10</f>
        <v>38</v>
      </c>
      <c r="H39" s="12" t="s">
        <v>33</v>
      </c>
      <c r="I39" s="12">
        <f>$C$15</f>
        <v>312</v>
      </c>
      <c r="J39" s="12">
        <v>2</v>
      </c>
      <c r="K39" s="12">
        <f>$A$39*J39</f>
        <v>2</v>
      </c>
      <c r="L39" s="34">
        <f t="shared" si="2"/>
        <v>4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>
        <f>Bauteile!$L$39</f>
        <v>4</v>
      </c>
      <c r="Y39" s="21"/>
      <c r="Z39" s="21"/>
      <c r="AA39" s="21"/>
      <c r="AB39" s="21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</row>
    <row r="40" spans="1:254" ht="12.75">
      <c r="A40" s="7"/>
      <c r="B40" s="12" t="s">
        <v>39</v>
      </c>
      <c r="C40" s="7" t="s">
        <v>40</v>
      </c>
      <c r="D40" s="7" t="s">
        <v>42</v>
      </c>
      <c r="E40" s="7">
        <f>E39</f>
        <v>58</v>
      </c>
      <c r="F40" s="7" t="s">
        <v>33</v>
      </c>
      <c r="G40" s="7">
        <f>G39</f>
        <v>38</v>
      </c>
      <c r="H40" s="7" t="s">
        <v>33</v>
      </c>
      <c r="I40" s="7">
        <f>$C$16-2*$C$10</f>
        <v>344</v>
      </c>
      <c r="J40" s="7">
        <v>2</v>
      </c>
      <c r="K40" s="7">
        <f aca="true" t="shared" si="4" ref="K40:K53">$A$39*J40</f>
        <v>2</v>
      </c>
      <c r="L40" s="32">
        <f t="shared" si="2"/>
        <v>4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>
        <f>Bauteile!$L$40</f>
        <v>4</v>
      </c>
      <c r="Z40" s="22"/>
      <c r="AA40" s="22"/>
      <c r="AB40" s="22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</row>
    <row r="41" spans="1:254" ht="12.75">
      <c r="A41" s="8"/>
      <c r="B41" s="12" t="s">
        <v>39</v>
      </c>
      <c r="C41" s="8" t="s">
        <v>45</v>
      </c>
      <c r="D41" s="8" t="s">
        <v>44</v>
      </c>
      <c r="E41" s="8">
        <f>$C$11</f>
        <v>17</v>
      </c>
      <c r="F41" s="8" t="s">
        <v>33</v>
      </c>
      <c r="G41" s="8">
        <f>$C$12</f>
        <v>34</v>
      </c>
      <c r="H41" s="8" t="s">
        <v>33</v>
      </c>
      <c r="I41" s="8">
        <f>$C$16</f>
        <v>420</v>
      </c>
      <c r="J41" s="8">
        <v>2</v>
      </c>
      <c r="K41" s="8">
        <f t="shared" si="4"/>
        <v>2</v>
      </c>
      <c r="L41" s="31">
        <f t="shared" si="2"/>
        <v>4</v>
      </c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>
        <f>Bauteile!L41</f>
        <v>4</v>
      </c>
      <c r="AB41" s="21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</row>
    <row r="42" spans="1:254" ht="12.75">
      <c r="A42" s="7"/>
      <c r="B42" s="12" t="s">
        <v>39</v>
      </c>
      <c r="C42" s="7" t="s">
        <v>46</v>
      </c>
      <c r="D42" s="7" t="s">
        <v>44</v>
      </c>
      <c r="E42" s="7">
        <f>E41</f>
        <v>17</v>
      </c>
      <c r="F42" s="7" t="s">
        <v>33</v>
      </c>
      <c r="G42" s="7">
        <f>G41</f>
        <v>34</v>
      </c>
      <c r="H42" s="7" t="s">
        <v>33</v>
      </c>
      <c r="I42" s="7">
        <f>$C$15-2*$C$12</f>
        <v>244</v>
      </c>
      <c r="J42" s="7">
        <v>1</v>
      </c>
      <c r="K42" s="7">
        <f t="shared" si="4"/>
        <v>1</v>
      </c>
      <c r="L42" s="32">
        <f t="shared" si="2"/>
        <v>2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>
        <f>Bauteile!$L$42</f>
        <v>2</v>
      </c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</row>
    <row r="43" spans="1:254" ht="12.75">
      <c r="A43" s="8"/>
      <c r="B43" s="12" t="s">
        <v>39</v>
      </c>
      <c r="C43" s="8" t="s">
        <v>47</v>
      </c>
      <c r="D43" s="8" t="s">
        <v>44</v>
      </c>
      <c r="E43" s="8">
        <f>E42</f>
        <v>17</v>
      </c>
      <c r="F43" s="8" t="s">
        <v>33</v>
      </c>
      <c r="G43" s="8">
        <f>G42</f>
        <v>34</v>
      </c>
      <c r="H43" s="8" t="s">
        <v>33</v>
      </c>
      <c r="I43" s="8">
        <f>$C$15-2*$C$12-$C$14</f>
        <v>174</v>
      </c>
      <c r="J43" s="8">
        <v>1</v>
      </c>
      <c r="K43" s="8">
        <f t="shared" si="4"/>
        <v>1</v>
      </c>
      <c r="L43" s="31">
        <f t="shared" si="2"/>
        <v>2</v>
      </c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C43" s="21">
        <f>Bauteile!$L$43</f>
        <v>2</v>
      </c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</row>
    <row r="44" spans="1:254" ht="12.75">
      <c r="A44" s="7"/>
      <c r="B44" s="12" t="s">
        <v>39</v>
      </c>
      <c r="C44" s="7" t="s">
        <v>49</v>
      </c>
      <c r="D44" s="7" t="s">
        <v>49</v>
      </c>
      <c r="E44" s="7"/>
      <c r="F44" s="7"/>
      <c r="G44" s="7">
        <f>$C$15-20</f>
        <v>292</v>
      </c>
      <c r="H44" s="7" t="s">
        <v>33</v>
      </c>
      <c r="I44" s="7">
        <f>$C$16-20</f>
        <v>400</v>
      </c>
      <c r="J44" s="7">
        <v>1</v>
      </c>
      <c r="K44" s="7">
        <f t="shared" si="4"/>
        <v>1</v>
      </c>
      <c r="L44" s="32">
        <f t="shared" si="2"/>
        <v>2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18"/>
      <c r="AD44" s="18"/>
      <c r="AE44" s="18">
        <f>Bauteile!$L$44</f>
        <v>2</v>
      </c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</row>
    <row r="45" spans="1:254" ht="12.75">
      <c r="A45" s="8"/>
      <c r="B45" s="12" t="s">
        <v>39</v>
      </c>
      <c r="C45" s="8" t="s">
        <v>83</v>
      </c>
      <c r="D45" s="8" t="s">
        <v>84</v>
      </c>
      <c r="E45" s="8"/>
      <c r="F45" s="8"/>
      <c r="G45" s="8">
        <f>$C$15-20</f>
        <v>292</v>
      </c>
      <c r="H45" s="8" t="s">
        <v>33</v>
      </c>
      <c r="I45" s="8">
        <f>$C$16-20</f>
        <v>400</v>
      </c>
      <c r="J45" s="8">
        <v>1</v>
      </c>
      <c r="K45" s="8">
        <f t="shared" si="4"/>
        <v>1</v>
      </c>
      <c r="L45" s="31">
        <f t="shared" si="2"/>
        <v>2</v>
      </c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16"/>
      <c r="AD45" s="16"/>
      <c r="AE45" s="16"/>
      <c r="AF45" s="16">
        <f>Bauteile!$L$45</f>
        <v>2</v>
      </c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</row>
    <row r="46" spans="1:254" ht="12.75">
      <c r="A46" s="7"/>
      <c r="B46" s="12" t="s">
        <v>39</v>
      </c>
      <c r="C46" s="7" t="s">
        <v>51</v>
      </c>
      <c r="D46" s="7" t="s">
        <v>55</v>
      </c>
      <c r="E46" s="7">
        <v>8</v>
      </c>
      <c r="F46" s="7" t="s">
        <v>33</v>
      </c>
      <c r="G46" s="7">
        <f>$C$15+$C$11*2</f>
        <v>346</v>
      </c>
      <c r="H46" s="7" t="s">
        <v>33</v>
      </c>
      <c r="I46" s="7">
        <v>120</v>
      </c>
      <c r="J46" s="7">
        <v>1</v>
      </c>
      <c r="K46" s="7">
        <f t="shared" si="4"/>
        <v>1</v>
      </c>
      <c r="L46" s="32">
        <f t="shared" si="2"/>
        <v>2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8"/>
      <c r="AD46" s="18"/>
      <c r="AE46" s="18"/>
      <c r="AF46" s="18"/>
      <c r="AG46" s="18">
        <f>Bauteile!$L$46</f>
        <v>2</v>
      </c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</row>
    <row r="47" spans="1:254" ht="12.75">
      <c r="A47" s="8"/>
      <c r="B47" s="12" t="s">
        <v>39</v>
      </c>
      <c r="C47" s="8" t="s">
        <v>53</v>
      </c>
      <c r="D47" s="8" t="s">
        <v>44</v>
      </c>
      <c r="E47" s="8">
        <f>$C$11</f>
        <v>17</v>
      </c>
      <c r="F47" s="8" t="s">
        <v>33</v>
      </c>
      <c r="G47" s="8">
        <f>$C$12</f>
        <v>34</v>
      </c>
      <c r="H47" s="8" t="s">
        <v>33</v>
      </c>
      <c r="I47" s="8">
        <f>$C$10+30</f>
        <v>68</v>
      </c>
      <c r="J47" s="8">
        <v>4</v>
      </c>
      <c r="K47" s="8">
        <f t="shared" si="4"/>
        <v>4</v>
      </c>
      <c r="L47" s="31">
        <f t="shared" si="2"/>
        <v>8</v>
      </c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16"/>
      <c r="AD47" s="16"/>
      <c r="AE47" s="16"/>
      <c r="AF47" s="16"/>
      <c r="AG47" s="16"/>
      <c r="AH47" s="16">
        <f>Bauteile!$L$47</f>
        <v>8</v>
      </c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</row>
    <row r="48" spans="1:254" ht="12.75">
      <c r="A48" s="7"/>
      <c r="B48" s="12" t="s">
        <v>39</v>
      </c>
      <c r="C48" s="7" t="s">
        <v>54</v>
      </c>
      <c r="D48" s="7" t="s">
        <v>55</v>
      </c>
      <c r="E48" s="7">
        <v>8</v>
      </c>
      <c r="F48" s="7" t="s">
        <v>33</v>
      </c>
      <c r="G48" s="7">
        <f>$C$15-2*$C$12</f>
        <v>244</v>
      </c>
      <c r="H48" s="7" t="s">
        <v>33</v>
      </c>
      <c r="I48" s="7">
        <f>$C$16-2*$C$10+20</f>
        <v>364</v>
      </c>
      <c r="J48" s="7">
        <v>1</v>
      </c>
      <c r="K48" s="7">
        <f t="shared" si="4"/>
        <v>1</v>
      </c>
      <c r="L48" s="32">
        <f t="shared" si="2"/>
        <v>2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8"/>
      <c r="AD48" s="18"/>
      <c r="AE48" s="18"/>
      <c r="AF48" s="18"/>
      <c r="AG48" s="18"/>
      <c r="AH48" s="18"/>
      <c r="AI48" s="18">
        <f>Bauteile!$L$48</f>
        <v>2</v>
      </c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</row>
    <row r="49" spans="1:254" ht="12.75">
      <c r="A49" s="8"/>
      <c r="B49" s="12" t="s">
        <v>39</v>
      </c>
      <c r="C49" s="8" t="s">
        <v>56</v>
      </c>
      <c r="D49" s="8" t="s">
        <v>35</v>
      </c>
      <c r="E49" s="8"/>
      <c r="F49" s="8"/>
      <c r="G49" s="8" t="s">
        <v>57</v>
      </c>
      <c r="H49" s="8" t="s">
        <v>33</v>
      </c>
      <c r="I49" s="8">
        <f>$C$10+40</f>
        <v>78</v>
      </c>
      <c r="J49" s="8">
        <v>4</v>
      </c>
      <c r="K49" s="8">
        <f t="shared" si="4"/>
        <v>4</v>
      </c>
      <c r="L49" s="31">
        <f t="shared" si="2"/>
        <v>8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16"/>
      <c r="AD49" s="16"/>
      <c r="AE49" s="16"/>
      <c r="AF49" s="16"/>
      <c r="AG49" s="16"/>
      <c r="AH49" s="16"/>
      <c r="AI49" s="16"/>
      <c r="AJ49" s="16">
        <f>Bauteile!$L$49</f>
        <v>8</v>
      </c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</row>
    <row r="50" spans="1:254" ht="12.75">
      <c r="A50" s="7"/>
      <c r="B50" s="12" t="s">
        <v>39</v>
      </c>
      <c r="C50" s="7" t="s">
        <v>58</v>
      </c>
      <c r="D50" s="7" t="s">
        <v>35</v>
      </c>
      <c r="E50" s="7"/>
      <c r="F50" s="7"/>
      <c r="G50" s="7" t="s">
        <v>57</v>
      </c>
      <c r="H50" s="7" t="s">
        <v>33</v>
      </c>
      <c r="I50" s="7">
        <f>$C$9+30</f>
        <v>88</v>
      </c>
      <c r="J50" s="7">
        <v>8</v>
      </c>
      <c r="K50" s="7">
        <f t="shared" si="4"/>
        <v>8</v>
      </c>
      <c r="L50" s="32">
        <f t="shared" si="2"/>
        <v>16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8"/>
      <c r="AD50" s="18"/>
      <c r="AE50" s="18"/>
      <c r="AF50" s="18"/>
      <c r="AG50" s="18"/>
      <c r="AH50" s="18"/>
      <c r="AI50" s="18"/>
      <c r="AJ50" s="18"/>
      <c r="AK50" s="18">
        <f>Bauteile!$L$50</f>
        <v>16</v>
      </c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</row>
    <row r="51" spans="1:254" ht="12.75">
      <c r="A51" s="8"/>
      <c r="B51" s="12" t="s">
        <v>39</v>
      </c>
      <c r="C51" s="8" t="s">
        <v>59</v>
      </c>
      <c r="D51" s="8" t="s">
        <v>44</v>
      </c>
      <c r="E51" s="8">
        <f>$C$11</f>
        <v>17</v>
      </c>
      <c r="F51" s="8" t="s">
        <v>33</v>
      </c>
      <c r="G51" s="8">
        <f>$C$12</f>
        <v>34</v>
      </c>
      <c r="H51" s="8" t="s">
        <v>33</v>
      </c>
      <c r="I51" s="8">
        <v>200</v>
      </c>
      <c r="J51" s="8">
        <v>2</v>
      </c>
      <c r="K51" s="8">
        <f t="shared" si="4"/>
        <v>2</v>
      </c>
      <c r="L51" s="31">
        <f t="shared" si="2"/>
        <v>4</v>
      </c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3"/>
      <c r="AD51" s="21"/>
      <c r="AE51" s="16"/>
      <c r="AF51" s="16"/>
      <c r="AG51" s="16"/>
      <c r="AH51" s="16"/>
      <c r="AI51" s="16"/>
      <c r="AJ51" s="16"/>
      <c r="AK51" s="16"/>
      <c r="AL51" s="16">
        <f>Bauteile!$L$51</f>
        <v>4</v>
      </c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</row>
    <row r="52" spans="1:254" ht="12.75">
      <c r="A52" s="7"/>
      <c r="B52" s="12" t="s">
        <v>39</v>
      </c>
      <c r="C52" s="7" t="s">
        <v>60</v>
      </c>
      <c r="D52" s="7"/>
      <c r="E52" s="7"/>
      <c r="F52" s="7"/>
      <c r="G52" s="7"/>
      <c r="H52" s="7"/>
      <c r="I52" s="7"/>
      <c r="J52" s="7">
        <v>20</v>
      </c>
      <c r="K52" s="7">
        <f t="shared" si="4"/>
        <v>20</v>
      </c>
      <c r="L52" s="32">
        <f t="shared" si="2"/>
        <v>40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4"/>
      <c r="AD52" s="22"/>
      <c r="AE52" s="18"/>
      <c r="AF52" s="18"/>
      <c r="AG52" s="18"/>
      <c r="AH52" s="18"/>
      <c r="AI52" s="18"/>
      <c r="AJ52" s="18"/>
      <c r="AK52" s="18"/>
      <c r="AL52" s="18"/>
      <c r="AM52" s="18">
        <f>Bauteile!$L$52</f>
        <v>40</v>
      </c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</row>
    <row r="53" spans="1:254" s="1" customFormat="1" ht="13.5" thickBot="1">
      <c r="A53" s="14"/>
      <c r="B53" s="14" t="s">
        <v>39</v>
      </c>
      <c r="C53" s="14" t="s">
        <v>34</v>
      </c>
      <c r="D53" s="14" t="s">
        <v>35</v>
      </c>
      <c r="E53" s="14"/>
      <c r="F53" s="14" t="s">
        <v>33</v>
      </c>
      <c r="G53" s="14">
        <v>3.5</v>
      </c>
      <c r="H53" s="14" t="s">
        <v>33</v>
      </c>
      <c r="I53" s="14">
        <v>40</v>
      </c>
      <c r="J53" s="14">
        <v>16</v>
      </c>
      <c r="K53" s="14">
        <f t="shared" si="4"/>
        <v>16</v>
      </c>
      <c r="L53" s="35">
        <f t="shared" si="2"/>
        <v>32</v>
      </c>
      <c r="M53" s="21"/>
      <c r="N53" s="21"/>
      <c r="O53" s="21"/>
      <c r="P53" s="21"/>
      <c r="Q53" s="21">
        <f>Bauteile!$L$53</f>
        <v>32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3"/>
      <c r="AD53" s="21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</row>
    <row r="54" spans="1:254" ht="13.5" thickTop="1">
      <c r="A54" s="62">
        <v>1</v>
      </c>
      <c r="B54" s="15" t="s">
        <v>62</v>
      </c>
      <c r="C54" s="15" t="s">
        <v>63</v>
      </c>
      <c r="D54" s="15" t="s">
        <v>44</v>
      </c>
      <c r="E54" s="15">
        <f>$C$11</f>
        <v>17</v>
      </c>
      <c r="F54" s="15" t="s">
        <v>33</v>
      </c>
      <c r="G54" s="15">
        <f>$C$12</f>
        <v>34</v>
      </c>
      <c r="H54" s="15" t="s">
        <v>33</v>
      </c>
      <c r="I54" s="15">
        <f>$C$15</f>
        <v>312</v>
      </c>
      <c r="J54" s="15">
        <v>2</v>
      </c>
      <c r="K54" s="15">
        <f>$A$54*J54</f>
        <v>2</v>
      </c>
      <c r="L54" s="36">
        <f t="shared" si="2"/>
        <v>4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4"/>
      <c r="AD54" s="22">
        <f>Bauteile!$L$54</f>
        <v>4</v>
      </c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</row>
    <row r="55" spans="1:254" ht="12.75">
      <c r="A55" s="8"/>
      <c r="B55" s="15" t="s">
        <v>62</v>
      </c>
      <c r="C55" s="8" t="s">
        <v>64</v>
      </c>
      <c r="D55" s="8" t="s">
        <v>44</v>
      </c>
      <c r="E55" s="8">
        <f>E54</f>
        <v>17</v>
      </c>
      <c r="F55" s="8" t="s">
        <v>33</v>
      </c>
      <c r="G55" s="8">
        <f>G54</f>
        <v>34</v>
      </c>
      <c r="H55" s="8" t="s">
        <v>33</v>
      </c>
      <c r="I55" s="8">
        <f>$C$16-2*$C$12</f>
        <v>352</v>
      </c>
      <c r="J55" s="8">
        <v>2</v>
      </c>
      <c r="K55" s="8">
        <f aca="true" t="shared" si="5" ref="K55:K60">$A$54*J55</f>
        <v>2</v>
      </c>
      <c r="L55" s="31">
        <f t="shared" si="2"/>
        <v>4</v>
      </c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3"/>
      <c r="AD55" s="21"/>
      <c r="AE55" s="16"/>
      <c r="AF55" s="16"/>
      <c r="AG55" s="16"/>
      <c r="AH55" s="16"/>
      <c r="AI55" s="16"/>
      <c r="AJ55" s="16"/>
      <c r="AK55" s="16"/>
      <c r="AL55" s="16"/>
      <c r="AM55" s="16"/>
      <c r="AN55" s="16">
        <f>Bauteile!$L$55</f>
        <v>4</v>
      </c>
      <c r="AO55" s="16"/>
      <c r="AP55" s="16"/>
      <c r="AQ55" s="16"/>
      <c r="AR55" s="16"/>
      <c r="AS55" s="16"/>
      <c r="AT55" s="16"/>
      <c r="AU55" s="16"/>
      <c r="AV55" s="16"/>
      <c r="AW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</row>
    <row r="56" spans="1:254" ht="12.75">
      <c r="A56" s="7"/>
      <c r="B56" s="15" t="s">
        <v>62</v>
      </c>
      <c r="C56" s="7" t="s">
        <v>48</v>
      </c>
      <c r="D56" s="7" t="s">
        <v>50</v>
      </c>
      <c r="E56" s="7"/>
      <c r="F56" s="7"/>
      <c r="G56" s="7">
        <f>$C$15+$C$11+30</f>
        <v>359</v>
      </c>
      <c r="H56" s="7" t="s">
        <v>33</v>
      </c>
      <c r="I56" s="7">
        <f>$C$16+$C$11+30</f>
        <v>467</v>
      </c>
      <c r="J56" s="7">
        <v>1</v>
      </c>
      <c r="K56" s="7">
        <f t="shared" si="5"/>
        <v>1</v>
      </c>
      <c r="L56" s="32">
        <f t="shared" si="2"/>
        <v>2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4"/>
      <c r="AD56" s="22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>
        <f>Bauteile!$L$56</f>
        <v>2</v>
      </c>
      <c r="AP56" s="18"/>
      <c r="AQ56" s="18"/>
      <c r="AR56" s="18"/>
      <c r="AS56" s="18"/>
      <c r="AT56" s="18"/>
      <c r="AU56" s="18"/>
      <c r="AV56" s="18"/>
      <c r="AW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</row>
    <row r="57" spans="1:254" ht="12.75">
      <c r="A57" s="8"/>
      <c r="B57" s="15" t="s">
        <v>62</v>
      </c>
      <c r="C57" s="8" t="s">
        <v>65</v>
      </c>
      <c r="D57" s="8" t="s">
        <v>66</v>
      </c>
      <c r="E57" s="8">
        <f>$C$11</f>
        <v>17</v>
      </c>
      <c r="F57" s="8" t="s">
        <v>33</v>
      </c>
      <c r="G57" s="8">
        <f>$C$15-2*$C$12-2</f>
        <v>242</v>
      </c>
      <c r="H57" s="8" t="s">
        <v>33</v>
      </c>
      <c r="I57" s="8">
        <f>$C$16-2*$C$12</f>
        <v>352</v>
      </c>
      <c r="J57" s="8">
        <v>1</v>
      </c>
      <c r="K57" s="8">
        <f t="shared" si="5"/>
        <v>1</v>
      </c>
      <c r="L57" s="31">
        <f t="shared" si="2"/>
        <v>2</v>
      </c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3"/>
      <c r="AD57" s="21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>
        <f>Bauteile!$L$57</f>
        <v>2</v>
      </c>
      <c r="AQ57" s="16"/>
      <c r="AR57" s="16"/>
      <c r="AS57" s="16"/>
      <c r="AT57" s="16"/>
      <c r="AU57" s="16"/>
      <c r="AV57" s="16"/>
      <c r="AW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</row>
    <row r="58" spans="1:254" ht="12.75">
      <c r="A58" s="7"/>
      <c r="B58" s="15" t="s">
        <v>62</v>
      </c>
      <c r="C58" s="7" t="s">
        <v>80</v>
      </c>
      <c r="D58" s="7"/>
      <c r="E58" s="7"/>
      <c r="F58" s="7"/>
      <c r="G58" s="7">
        <f>$C$15-2*$C$8</f>
        <v>276</v>
      </c>
      <c r="H58" s="7" t="s">
        <v>33</v>
      </c>
      <c r="I58" s="7">
        <f>$C$16-2*$C$8</f>
        <v>384</v>
      </c>
      <c r="J58" s="7">
        <v>1</v>
      </c>
      <c r="K58" s="7">
        <f t="shared" si="5"/>
        <v>1</v>
      </c>
      <c r="L58" s="32">
        <f t="shared" si="2"/>
        <v>2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4"/>
      <c r="AD58" s="22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>
        <f>Bauteile!$L$58</f>
        <v>2</v>
      </c>
      <c r="AR58" s="18"/>
      <c r="AS58" s="18"/>
      <c r="AT58" s="18"/>
      <c r="AU58" s="18"/>
      <c r="AV58" s="18"/>
      <c r="AW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</row>
    <row r="59" spans="1:254" ht="12.75">
      <c r="A59" s="8"/>
      <c r="B59" s="15" t="s">
        <v>62</v>
      </c>
      <c r="C59" s="8" t="s">
        <v>34</v>
      </c>
      <c r="D59" s="8" t="s">
        <v>35</v>
      </c>
      <c r="E59" s="8"/>
      <c r="F59" s="8"/>
      <c r="G59" s="8">
        <v>3.5</v>
      </c>
      <c r="H59" s="8" t="s">
        <v>33</v>
      </c>
      <c r="I59" s="8">
        <v>40</v>
      </c>
      <c r="J59" s="8">
        <v>4</v>
      </c>
      <c r="K59" s="8">
        <f t="shared" si="5"/>
        <v>4</v>
      </c>
      <c r="L59" s="31">
        <f t="shared" si="2"/>
        <v>8</v>
      </c>
      <c r="M59" s="21"/>
      <c r="N59" s="21"/>
      <c r="O59" s="21"/>
      <c r="P59" s="21"/>
      <c r="Q59" s="21">
        <f>Bauteile!$L$59</f>
        <v>8</v>
      </c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3"/>
      <c r="AD59" s="21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</row>
    <row r="60" spans="1:254" s="1" customFormat="1" ht="13.5" thickBot="1">
      <c r="A60" s="13"/>
      <c r="B60" s="13" t="s">
        <v>62</v>
      </c>
      <c r="C60" s="13" t="s">
        <v>60</v>
      </c>
      <c r="D60" s="13" t="s">
        <v>60</v>
      </c>
      <c r="E60" s="13"/>
      <c r="F60" s="13"/>
      <c r="G60" s="13"/>
      <c r="H60" s="13"/>
      <c r="I60" s="13"/>
      <c r="J60" s="13">
        <v>20</v>
      </c>
      <c r="K60" s="13">
        <f t="shared" si="5"/>
        <v>20</v>
      </c>
      <c r="L60" s="33">
        <f t="shared" si="2"/>
        <v>40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4"/>
      <c r="AD60" s="22"/>
      <c r="AE60" s="19"/>
      <c r="AF60" s="19"/>
      <c r="AG60" s="19"/>
      <c r="AH60" s="19"/>
      <c r="AI60" s="19"/>
      <c r="AJ60" s="19"/>
      <c r="AK60" s="19"/>
      <c r="AL60" s="19"/>
      <c r="AM60" s="19">
        <f>Bauteile!$L$60</f>
        <v>40</v>
      </c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</row>
    <row r="61" spans="1:254" ht="13.5" thickTop="1">
      <c r="A61" s="62">
        <v>1</v>
      </c>
      <c r="B61" s="12" t="s">
        <v>67</v>
      </c>
      <c r="C61" s="12" t="s">
        <v>43</v>
      </c>
      <c r="D61" s="12" t="s">
        <v>44</v>
      </c>
      <c r="E61" s="12">
        <f>$C$11</f>
        <v>17</v>
      </c>
      <c r="F61" s="12" t="s">
        <v>33</v>
      </c>
      <c r="G61" s="12">
        <f>$C$12</f>
        <v>34</v>
      </c>
      <c r="H61" s="12" t="s">
        <v>33</v>
      </c>
      <c r="I61" s="12">
        <f>$C$15+2*$C$11+2*$C$13</f>
        <v>350</v>
      </c>
      <c r="J61" s="12">
        <v>2</v>
      </c>
      <c r="K61" s="12">
        <f>$A$61*J61</f>
        <v>2</v>
      </c>
      <c r="L61" s="34">
        <f t="shared" si="2"/>
        <v>4</v>
      </c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3"/>
      <c r="AD61" s="21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>
        <f>Bauteile!$L$61</f>
        <v>4</v>
      </c>
      <c r="AS61" s="16"/>
      <c r="AT61" s="16"/>
      <c r="AU61" s="16"/>
      <c r="AV61" s="16"/>
      <c r="AW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</row>
    <row r="62" spans="1:254" ht="12.75">
      <c r="A62" s="7"/>
      <c r="B62" s="12" t="s">
        <v>67</v>
      </c>
      <c r="C62" s="7" t="s">
        <v>45</v>
      </c>
      <c r="D62" s="7" t="s">
        <v>44</v>
      </c>
      <c r="E62" s="7">
        <f>E61</f>
        <v>17</v>
      </c>
      <c r="F62" s="7" t="s">
        <v>33</v>
      </c>
      <c r="G62" s="7">
        <f>G61</f>
        <v>34</v>
      </c>
      <c r="H62" s="7" t="s">
        <v>33</v>
      </c>
      <c r="I62" s="7">
        <f>$C$16+2*$C$13</f>
        <v>424</v>
      </c>
      <c r="J62" s="7">
        <v>2</v>
      </c>
      <c r="K62" s="7">
        <f aca="true" t="shared" si="6" ref="K62:K68">$A$61*J62</f>
        <v>2</v>
      </c>
      <c r="L62" s="32">
        <f t="shared" si="2"/>
        <v>4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4"/>
      <c r="AD62" s="22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>
        <f>Bauteile!$L$62</f>
        <v>4</v>
      </c>
      <c r="AT62" s="18"/>
      <c r="AU62" s="18"/>
      <c r="AV62" s="18"/>
      <c r="AW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</row>
    <row r="63" spans="1:254" ht="12.75">
      <c r="A63" s="8"/>
      <c r="B63" s="12" t="s">
        <v>67</v>
      </c>
      <c r="C63" s="8" t="s">
        <v>68</v>
      </c>
      <c r="D63" s="8" t="s">
        <v>55</v>
      </c>
      <c r="E63" s="8">
        <v>8</v>
      </c>
      <c r="F63" s="8" t="s">
        <v>33</v>
      </c>
      <c r="G63" s="8">
        <f>$C$15+2*$C$13+2*$C$11</f>
        <v>350</v>
      </c>
      <c r="H63" s="8" t="s">
        <v>33</v>
      </c>
      <c r="I63" s="8">
        <f>$C$16+2*$C$13+2*$C$11</f>
        <v>458</v>
      </c>
      <c r="J63" s="8">
        <v>1</v>
      </c>
      <c r="K63" s="8">
        <f t="shared" si="6"/>
        <v>1</v>
      </c>
      <c r="L63" s="31">
        <f t="shared" si="2"/>
        <v>2</v>
      </c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3"/>
      <c r="AD63" s="21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>
        <f>Bauteile!$L$63</f>
        <v>2</v>
      </c>
      <c r="AU63" s="16"/>
      <c r="AV63" s="16"/>
      <c r="AW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</row>
    <row r="64" spans="1:254" ht="12.75">
      <c r="A64" s="7"/>
      <c r="B64" s="12" t="s">
        <v>67</v>
      </c>
      <c r="C64" s="7" t="s">
        <v>69</v>
      </c>
      <c r="D64" s="7" t="s">
        <v>70</v>
      </c>
      <c r="E64" s="7"/>
      <c r="F64" s="7"/>
      <c r="G64" s="7">
        <f>$C$15+2*$C$13+2*$C$11+4*$C$12</f>
        <v>486</v>
      </c>
      <c r="H64" s="7" t="s">
        <v>33</v>
      </c>
      <c r="I64" s="7">
        <f>$C$16+2*$C$13+2*$C$11+4*$C$12</f>
        <v>594</v>
      </c>
      <c r="J64" s="7">
        <v>1</v>
      </c>
      <c r="K64" s="7">
        <f t="shared" si="6"/>
        <v>1</v>
      </c>
      <c r="L64" s="32">
        <f t="shared" si="2"/>
        <v>2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4"/>
      <c r="AD64" s="22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>
        <f>Bauteile!$L$64</f>
        <v>2</v>
      </c>
      <c r="AV64" s="18"/>
      <c r="AW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</row>
    <row r="65" spans="1:254" ht="12.75">
      <c r="A65" s="8"/>
      <c r="B65" s="12" t="s">
        <v>67</v>
      </c>
      <c r="C65" s="8" t="s">
        <v>60</v>
      </c>
      <c r="D65" s="8"/>
      <c r="E65" s="8"/>
      <c r="F65" s="8"/>
      <c r="G65" s="8"/>
      <c r="H65" s="8"/>
      <c r="I65" s="8"/>
      <c r="J65" s="8">
        <v>20</v>
      </c>
      <c r="K65" s="8">
        <f t="shared" si="6"/>
        <v>20</v>
      </c>
      <c r="L65" s="31">
        <f t="shared" si="2"/>
        <v>40</v>
      </c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3"/>
      <c r="AD65" s="21"/>
      <c r="AE65" s="16"/>
      <c r="AF65" s="16"/>
      <c r="AG65" s="16"/>
      <c r="AH65" s="16"/>
      <c r="AI65" s="16"/>
      <c r="AJ65" s="16"/>
      <c r="AK65" s="16"/>
      <c r="AL65" s="16"/>
      <c r="AM65" s="16">
        <f>Bauteile!$L$65</f>
        <v>40</v>
      </c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</row>
    <row r="66" spans="1:49" ht="12.75">
      <c r="A66" s="7"/>
      <c r="B66" s="12" t="s">
        <v>67</v>
      </c>
      <c r="C66" s="7" t="s">
        <v>71</v>
      </c>
      <c r="D66" s="7"/>
      <c r="E66" s="7"/>
      <c r="F66" s="7"/>
      <c r="G66" s="7"/>
      <c r="H66" s="7"/>
      <c r="I66" s="7"/>
      <c r="J66" s="7">
        <v>20</v>
      </c>
      <c r="K66" s="7">
        <f t="shared" si="6"/>
        <v>20</v>
      </c>
      <c r="L66" s="32">
        <f t="shared" si="2"/>
        <v>40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4"/>
      <c r="AD66" s="22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>
        <f>Bauteile!$L$66</f>
        <v>40</v>
      </c>
      <c r="AW66" s="18"/>
    </row>
    <row r="67" spans="1:49" ht="12.75">
      <c r="A67" s="8"/>
      <c r="B67" s="12" t="s">
        <v>67</v>
      </c>
      <c r="C67" s="8" t="s">
        <v>34</v>
      </c>
      <c r="D67" s="8"/>
      <c r="E67" s="8"/>
      <c r="F67" s="8"/>
      <c r="G67" s="8">
        <v>3.5</v>
      </c>
      <c r="H67" s="8" t="s">
        <v>33</v>
      </c>
      <c r="I67" s="8">
        <v>40</v>
      </c>
      <c r="J67" s="8">
        <v>4</v>
      </c>
      <c r="K67" s="8">
        <f t="shared" si="6"/>
        <v>4</v>
      </c>
      <c r="L67" s="31">
        <f t="shared" si="2"/>
        <v>8</v>
      </c>
      <c r="M67" s="21"/>
      <c r="N67" s="21"/>
      <c r="O67" s="21"/>
      <c r="P67" s="21"/>
      <c r="Q67" s="21">
        <f>Bauteile!$L$67</f>
        <v>8</v>
      </c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3"/>
      <c r="AD67" s="21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</row>
    <row r="68" spans="1:256" s="1" customFormat="1" ht="13.5" thickBot="1">
      <c r="A68" s="13"/>
      <c r="B68" s="14" t="s">
        <v>67</v>
      </c>
      <c r="C68" s="13" t="s">
        <v>72</v>
      </c>
      <c r="D68" s="13"/>
      <c r="E68" s="13"/>
      <c r="F68" s="13"/>
      <c r="G68" s="13"/>
      <c r="H68" s="13"/>
      <c r="I68" s="13">
        <f>2*$A$19*($C$4+$C$7)+2*$A$25*($C$5+$C$7)+2*$C$16+4*$C$9+4*$C$11+2*8+1000</f>
        <v>3996</v>
      </c>
      <c r="J68" s="13">
        <v>1</v>
      </c>
      <c r="K68" s="13">
        <f t="shared" si="6"/>
        <v>1</v>
      </c>
      <c r="L68" s="33">
        <f t="shared" si="2"/>
        <v>2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4"/>
      <c r="AD68" s="22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>
        <f>Bauteile!$L$68</f>
        <v>2</v>
      </c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3:30" ht="13.5" thickTop="1"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21"/>
      <c r="Y69" s="3"/>
      <c r="Z69" s="3"/>
      <c r="AA69" s="3"/>
      <c r="AB69" s="3"/>
      <c r="AC69" s="25"/>
      <c r="AD69" s="3"/>
    </row>
    <row r="70" spans="13:30" ht="12.75"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22"/>
      <c r="Y70" s="3"/>
      <c r="Z70" s="3"/>
      <c r="AA70" s="3"/>
      <c r="AB70" s="3"/>
      <c r="AC70" s="25"/>
      <c r="AD70" s="3"/>
    </row>
    <row r="71" spans="13:30" ht="12.75"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25"/>
      <c r="AD71" s="3"/>
    </row>
    <row r="72" spans="13:30" ht="12.75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25"/>
      <c r="AD72" s="3"/>
    </row>
    <row r="73" spans="13:30" ht="12.75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25"/>
      <c r="AD73" s="3"/>
    </row>
    <row r="74" spans="13:30" ht="12.75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25"/>
      <c r="AD74" s="3"/>
    </row>
    <row r="75" spans="13:30" ht="12.75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25"/>
      <c r="AD75" s="3"/>
    </row>
    <row r="76" spans="13:30" ht="12.75"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25"/>
      <c r="AD76" s="3"/>
    </row>
    <row r="77" spans="13:30" ht="12.75"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25"/>
      <c r="AD77" s="3"/>
    </row>
    <row r="78" spans="13:30" ht="12.75"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25"/>
      <c r="AD78" s="3"/>
    </row>
    <row r="79" spans="13:30" ht="12.75"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25"/>
      <c r="AD79" s="3"/>
    </row>
    <row r="80" spans="13:30" ht="12.75"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25"/>
      <c r="AD80" s="3"/>
    </row>
    <row r="81" spans="13:30" ht="12.75"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25"/>
      <c r="AD81" s="3"/>
    </row>
    <row r="82" spans="13:30" ht="12.75"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25"/>
      <c r="AD82" s="3"/>
    </row>
    <row r="83" spans="13:30" ht="12.75"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25"/>
      <c r="AD83" s="3"/>
    </row>
    <row r="84" spans="13:30" ht="12.75"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25"/>
      <c r="AD84" s="3"/>
    </row>
    <row r="85" spans="13:30" ht="12.75"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25"/>
      <c r="AD85" s="3"/>
    </row>
    <row r="86" spans="13:30" ht="12.75"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25"/>
      <c r="AD86" s="3"/>
    </row>
    <row r="87" spans="13:30" ht="12.75"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25"/>
      <c r="AD87" s="3"/>
    </row>
    <row r="88" spans="13:30" ht="12.75"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25"/>
      <c r="AD88" s="3"/>
    </row>
    <row r="89" spans="13:30" ht="12.75"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25"/>
      <c r="AD89" s="3"/>
    </row>
    <row r="90" spans="13:30" ht="12.75"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25"/>
      <c r="AD90" s="3"/>
    </row>
    <row r="91" spans="13:30" ht="12.75"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25"/>
      <c r="AD91" s="3"/>
    </row>
    <row r="92" spans="13:30" ht="12.75"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25"/>
      <c r="AD92" s="3"/>
    </row>
    <row r="93" spans="13:30" ht="12.75"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25"/>
      <c r="AD93" s="3"/>
    </row>
    <row r="94" spans="13:30" ht="12.75"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25"/>
      <c r="AD94" s="3"/>
    </row>
    <row r="95" spans="13:30" ht="12.75"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25"/>
      <c r="AD95" s="3"/>
    </row>
    <row r="96" spans="13:30" ht="12.75"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25"/>
      <c r="AD96" s="3"/>
    </row>
    <row r="97" spans="13:30" ht="12.75"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25"/>
      <c r="AD97" s="3"/>
    </row>
    <row r="98" spans="13:30" ht="12.75"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25"/>
      <c r="AD98" s="3"/>
    </row>
    <row r="99" spans="13:30" ht="12.75"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25"/>
      <c r="AD99" s="3"/>
    </row>
    <row r="100" spans="13:30" ht="12.75"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25"/>
      <c r="AD100" s="3"/>
    </row>
    <row r="101" spans="13:30" ht="12.75"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25"/>
      <c r="AD101" s="3"/>
    </row>
    <row r="102" spans="13:30" ht="12.75"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25"/>
      <c r="AD102" s="3"/>
    </row>
    <row r="103" spans="13:30" ht="12.75"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25"/>
      <c r="AD103" s="3"/>
    </row>
    <row r="104" spans="13:30" ht="12.75"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25"/>
      <c r="AD104" s="3"/>
    </row>
    <row r="105" spans="13:30" ht="12.75"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25"/>
      <c r="AD105" s="3"/>
    </row>
    <row r="106" spans="13:30" ht="12.75"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25"/>
      <c r="AD106" s="3"/>
    </row>
    <row r="107" spans="13:30" ht="12.75"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25"/>
      <c r="AD107" s="3"/>
    </row>
    <row r="108" spans="13:30" ht="12.75"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25"/>
      <c r="AD108" s="3"/>
    </row>
    <row r="109" spans="13:30" ht="12.75"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25"/>
      <c r="AD109" s="3"/>
    </row>
    <row r="110" spans="13:30" ht="12.75"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25"/>
      <c r="AD110" s="3"/>
    </row>
    <row r="111" spans="13:28" ht="12.75"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3:28" ht="12.75"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3:28" ht="12.75"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3:28" ht="12.75"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3:28" ht="12.75"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3:28" ht="12.75"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3:28" ht="12.75"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3:28" ht="12.75"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3:28" ht="12.75"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3:28" ht="12.75"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3:28" ht="12.75"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3:28" ht="12.75"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3:28" ht="12.75"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3:28" ht="12.75"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3:28" ht="12.75"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3:28" ht="12.75"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3:28" ht="12.75"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3:28" ht="12.75"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3:28" ht="12.75"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3:28" ht="12.75"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3:28" ht="12.75"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3:28" ht="12.75"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3:28" ht="12.75"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3:28" ht="12.75"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3:28" ht="12.75"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3:28" ht="12.75"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3:28" ht="12.75"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3:28" ht="12.75"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3:28" ht="12.75"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3:28" ht="12.75"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3:28" ht="12.75"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3:28" ht="12.75"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3:28" ht="12.75"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3:28" ht="12.75"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3:28" ht="12.75"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3:28" ht="12.75"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3:28" ht="12.75"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3:28" ht="12.75"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3:28" ht="12.75"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3:28" ht="12.75"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3:28" ht="12.75"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3:28" ht="12.75"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3:28" ht="12.75"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3:28" ht="12.75"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3:28" ht="12.75"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3:28" ht="12.75"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3:28" ht="12.75"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3:28" ht="12.75"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3:28" ht="12.75"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3:28" ht="12.75"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3:28" ht="12.75"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3:28" ht="12.75"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3:28" ht="12.75"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3:28" ht="12.75"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3:28" ht="12.75"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3:28" ht="12.75"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3:28" ht="12.75"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3:28" ht="12.75"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3:28" ht="12.75"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3:28" ht="12.75"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3:28" ht="12.75"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3:28" ht="12.75"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3:28" ht="12.75"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3:28" ht="12.75"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3:28" ht="12.75"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3:28" ht="12.75"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3:28" ht="12.75"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3:28" ht="12.75"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3:28" ht="12.75"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3:28" ht="12.75"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3:28" ht="12.75"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3:28" ht="12.75"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3:28" ht="12.75"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3:28" ht="12.75"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3:28" ht="12.75"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3:28" ht="12.75"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3:28" ht="12.75"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3:28" ht="12.75"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3:28" ht="12.75"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3:28" ht="12.75"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3:28" ht="12.75"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3:28" ht="12.75"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3:28" ht="12.75"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3:28" ht="12.75"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3:28" ht="12.75"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3:28" ht="12.75"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3:28" ht="12.75"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3:28" ht="12.75"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3:28" ht="12.75"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3:28" ht="12.75"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3:28" ht="12.75"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3:28" ht="12.75"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3:28" ht="12.75"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3:28" ht="12.75"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3:28" ht="12.75"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3:28" ht="12.75"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3:28" ht="12.75"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ht="12.75">
      <c r="X208" s="3"/>
    </row>
    <row r="209" ht="12.75">
      <c r="X209" s="3"/>
    </row>
  </sheetData>
  <mergeCells count="1">
    <mergeCell ref="E17:I17"/>
  </mergeCells>
  <printOptions/>
  <pageMargins left="0.75" right="0.75" top="1" bottom="1" header="0.5" footer="0.5"/>
  <pageSetup orientation="portrait" paperSize="9" scale="7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3"/>
  <sheetViews>
    <sheetView workbookViewId="0" topLeftCell="D1">
      <selection activeCell="AV6" sqref="AV6"/>
    </sheetView>
  </sheetViews>
  <sheetFormatPr defaultColWidth="11.00390625" defaultRowHeight="12.75"/>
  <cols>
    <col min="1" max="4" width="2.875" style="0" customWidth="1"/>
    <col min="5" max="5" width="16.625" style="0" customWidth="1"/>
    <col min="6" max="6" width="2.75390625" style="0" customWidth="1"/>
    <col min="7" max="11" width="2.625" style="0" customWidth="1"/>
    <col min="12" max="12" width="2.875" style="0" customWidth="1"/>
    <col min="13" max="13" width="2.625" style="0" customWidth="1"/>
    <col min="14" max="14" width="3.125" style="0" customWidth="1"/>
    <col min="15" max="21" width="2.625" style="0" customWidth="1"/>
    <col min="22" max="22" width="3.125" style="44" customWidth="1"/>
    <col min="23" max="24" width="2.625" style="0" customWidth="1"/>
    <col min="25" max="25" width="2.875" style="44" customWidth="1"/>
    <col min="26" max="47" width="2.625" style="0" customWidth="1"/>
  </cols>
  <sheetData>
    <row r="1" spans="5:45" ht="51.75" customHeight="1">
      <c r="E1" s="54"/>
      <c r="F1" s="39" t="s">
        <v>91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40"/>
      <c r="W1" s="39"/>
      <c r="X1" s="39"/>
      <c r="Y1" s="45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5:45" ht="46.5" customHeight="1">
      <c r="E2" s="54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40"/>
      <c r="W2" s="39"/>
      <c r="X2" s="39"/>
      <c r="Y2" s="45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5:45" ht="48.75" customHeight="1">
      <c r="E3" s="54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0"/>
      <c r="W3" s="39"/>
      <c r="X3" s="39"/>
      <c r="Y3" s="45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</row>
    <row r="4" spans="5:45" ht="51" customHeight="1">
      <c r="E4" s="54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40"/>
      <c r="W4" s="39"/>
      <c r="X4" s="39"/>
      <c r="Y4" s="45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</row>
    <row r="5" spans="5:47" ht="33.75" customHeight="1">
      <c r="E5" s="54" t="s">
        <v>87</v>
      </c>
      <c r="F5" s="39">
        <f aca="true" t="shared" si="0" ref="F5:U5">SUM(F7:F53)</f>
        <v>2</v>
      </c>
      <c r="G5" s="39">
        <f t="shared" si="0"/>
        <v>2</v>
      </c>
      <c r="H5" s="39">
        <f t="shared" si="0"/>
        <v>2</v>
      </c>
      <c r="I5" s="39">
        <f t="shared" si="0"/>
        <v>2</v>
      </c>
      <c r="J5" s="39">
        <f t="shared" si="0"/>
        <v>2</v>
      </c>
      <c r="K5" s="39">
        <f t="shared" si="0"/>
        <v>2</v>
      </c>
      <c r="L5" s="39">
        <f t="shared" si="0"/>
        <v>8</v>
      </c>
      <c r="M5" s="39">
        <f t="shared" si="0"/>
        <v>20</v>
      </c>
      <c r="N5" s="39">
        <f t="shared" si="0"/>
        <v>4</v>
      </c>
      <c r="O5" s="39">
        <f t="shared" si="0"/>
        <v>2</v>
      </c>
      <c r="P5" s="39">
        <f t="shared" si="0"/>
        <v>2</v>
      </c>
      <c r="Q5" s="39">
        <f t="shared" si="0"/>
        <v>4</v>
      </c>
      <c r="R5" s="39">
        <f t="shared" si="0"/>
        <v>4</v>
      </c>
      <c r="S5" s="39">
        <f t="shared" si="0"/>
        <v>4</v>
      </c>
      <c r="T5" s="39">
        <f t="shared" si="0"/>
        <v>4</v>
      </c>
      <c r="U5" s="39">
        <f t="shared" si="0"/>
        <v>4</v>
      </c>
      <c r="V5" s="51">
        <f>Bauteile!$I$47+Bauteile!$I$21+Bauteile!$I$51+Bauteile!$I$43+Bauteile!$I$42+Bauteile!$I$55+Bauteile!$I$54+Bauteile!$I$41+Bauteile!$I$62+Bauteile!$I$61</f>
        <v>2664</v>
      </c>
      <c r="W5" s="39">
        <f>SUM(W7:W53)</f>
        <v>4</v>
      </c>
      <c r="X5" s="39">
        <f>SUM(X7:X53)</f>
        <v>4</v>
      </c>
      <c r="Y5" s="52">
        <f>Bauteile!$I$40+Bauteile!$I$39</f>
        <v>656</v>
      </c>
      <c r="Z5" s="39">
        <f aca="true" t="shared" si="1" ref="Z5:AR5">SUM(Z7:Z53)</f>
        <v>2</v>
      </c>
      <c r="AA5" s="39">
        <f t="shared" si="1"/>
        <v>4</v>
      </c>
      <c r="AB5" s="39">
        <f t="shared" si="1"/>
        <v>4</v>
      </c>
      <c r="AC5" s="39">
        <f t="shared" si="1"/>
        <v>16</v>
      </c>
      <c r="AD5" s="39">
        <f t="shared" si="1"/>
        <v>16</v>
      </c>
      <c r="AE5" s="39">
        <f t="shared" si="1"/>
        <v>2</v>
      </c>
      <c r="AF5" s="39">
        <f t="shared" si="1"/>
        <v>40</v>
      </c>
      <c r="AG5" s="39">
        <f t="shared" si="1"/>
        <v>64</v>
      </c>
      <c r="AH5" s="39">
        <f t="shared" si="1"/>
        <v>0</v>
      </c>
      <c r="AI5" s="39">
        <f t="shared" si="1"/>
        <v>316</v>
      </c>
      <c r="AJ5" s="39">
        <f t="shared" si="1"/>
        <v>8</v>
      </c>
      <c r="AK5" s="39">
        <f t="shared" si="1"/>
        <v>16</v>
      </c>
      <c r="AL5" s="39">
        <f>Bauteile!$AX$17</f>
        <v>96</v>
      </c>
      <c r="AM5" s="39">
        <f t="shared" si="1"/>
        <v>2</v>
      </c>
      <c r="AN5" s="39">
        <f t="shared" si="1"/>
        <v>2</v>
      </c>
      <c r="AO5" s="39">
        <f t="shared" si="1"/>
        <v>2</v>
      </c>
      <c r="AP5" s="39"/>
      <c r="AQ5" s="39">
        <f t="shared" si="1"/>
        <v>120</v>
      </c>
      <c r="AR5" s="39">
        <f t="shared" si="1"/>
        <v>2</v>
      </c>
      <c r="AS5" s="39">
        <f>Bauteile!$C$1</f>
        <v>2</v>
      </c>
      <c r="AT5" s="39">
        <v>2</v>
      </c>
      <c r="AU5" s="39">
        <f>Bauteile!$C$1</f>
        <v>2</v>
      </c>
    </row>
    <row r="6" spans="1:48" ht="321" customHeight="1">
      <c r="A6" s="53" t="str">
        <f>Bauteile!$C$1&amp;" Beuten mit je"</f>
        <v>2 Beuten mit je</v>
      </c>
      <c r="B6" s="53" t="str">
        <f>Bauteile!$A$19&amp;" Ganzzargen und"</f>
        <v>4 Ganzzargen und</v>
      </c>
      <c r="C6" s="53" t="str">
        <f>Bauteile!$A$25&amp;" Flachzargen à"</f>
        <v>0 Flachzargen à</v>
      </c>
      <c r="D6" s="53" t="str">
        <f>Bauteile!$C$2&amp;" Rähmchen"</f>
        <v>8 Rähmchen</v>
      </c>
      <c r="E6" s="38"/>
      <c r="F6" s="55" t="str">
        <f>"8mm-Gitter "&amp;Bauteile!$G$45&amp;"x"&amp;Bauteile!$I$45&amp;" ("&amp;Bauteile!$B$45&amp;": "&amp;Bauteile!$C$45&amp;")"</f>
        <v>8mm-Gitter 292x400 (Boden: Mäusegitter)</v>
      </c>
      <c r="G6" s="55" t="str">
        <f>"Bodengitter "&amp;Bauteile!$G$44&amp;"x"&amp;Bauteile!$I$44&amp;" ("&amp;Bauteile!$B$44&amp;": "&amp;Bauteile!$C$44&amp;")"</f>
        <v>Bodengitter 292x400 (Boden: Varroagitter)</v>
      </c>
      <c r="H6" s="55" t="str">
        <f>"Varroagitter "&amp;Bauteile!$G$38&amp;"x"&amp;Bauteile!$I$38&amp;" ("&amp;Bauteile!$B$38&amp;": "&amp;Bauteile!$C$38&amp;")"</f>
        <v>Varroagitter 280x152 (Futterzarge: Gitter)</v>
      </c>
      <c r="I6" s="55" t="str">
        <f>"Fliegengitter "&amp;Bauteile!$G$56&amp;"x"&amp;Bauteile!$I$56&amp;" ("&amp;Bauteile!$B$56&amp;": "&amp;Bauteile!$C$56&amp;")"</f>
        <v>Fliegengitter 359x467 (Innendeckel: Bienengitter)</v>
      </c>
      <c r="J6" s="55" t="str">
        <f>"Folie "&amp;Bauteile!$G58&amp;"x"&amp;Bauteile!$I$58&amp;" ("&amp;Bauteile!$B$58&amp;": "&amp;Bauteile!$C$58&amp;")"</f>
        <v>Folie 276x384 (Innendeckel: Folie)</v>
      </c>
      <c r="K6" s="55" t="str">
        <f>"Gurt &gt;"&amp;Bauteile!$I$68&amp;"mm"&amp;" ("&amp;Bauteile!$C$68&amp;")"</f>
        <v>Gurt &gt;3996mm (Gurt)</v>
      </c>
      <c r="L6" s="55" t="str">
        <f>"Kantholz "&amp;Bauteile!$C$11&amp;"x"&amp;Bauteile!$C$12&amp;"x"&amp;Bauteile!$I$47&amp;" ("&amp;Bauteile!$B$47&amp;": "&amp;Bauteile!$C$47&amp;")"</f>
        <v>Kantholz 17x34x68 (Boden: Füße)</v>
      </c>
      <c r="M6" s="55" t="str">
        <f>"Kantholz "&amp;Bauteile!$C$11&amp;"x"&amp;Bauteile!$C$12&amp;"x"&amp;Bauteile!$I$21&amp;" ("&amp;Bauteile!$C$21&amp;")"</f>
        <v>Kantholz 17x34x120 (Griffe)</v>
      </c>
      <c r="N6" s="55" t="str">
        <f>"Kantholz "&amp;Bauteile!$C$11&amp;"x"&amp;Bauteile!$C$12&amp;"x"&amp;Bauteile!$I$51&amp;" ("&amp;Bauteile!$B$51&amp;": "&amp;Bauteile!$C$51&amp;")"</f>
        <v>Kantholz 17x34x200 (Boden: Halter Flubrett)</v>
      </c>
      <c r="O6" s="55" t="str">
        <f>"Kantholz "&amp;Bauteile!$C$11&amp;"x"&amp;Bauteile!$C$12&amp;"x"&amp;Bauteile!$I$43&amp;" ("&amp;Bauteile!$B$43&amp;": "&amp;Bauteile!$C$43&amp;")"</f>
        <v>Kantholz 17x34x174 (Boden: Kantholz kl vorne)</v>
      </c>
      <c r="P6" s="55" t="str">
        <f>"Kantholz "&amp;Bauteile!$C$11&amp;"x"&amp;Bauteile!$C$12&amp;"x"&amp;Bauteile!$I$42&amp;" ("&amp;Bauteile!$B$42&amp;": "&amp;Bauteile!$C$42&amp;")"</f>
        <v>Kantholz 17x34x244 (Boden: Kantholz kl hinten)</v>
      </c>
      <c r="Q6" s="55" t="str">
        <f>"Kantholz "&amp;Bauteile!$C$11&amp;"x"&amp;Bauteile!$C$12&amp;"x"&amp;Bauteile!$I$55&amp;" ("&amp;Bauteile!$B$55&amp;": "&amp;Bauteile!$C$55&amp;")"</f>
        <v>Kantholz 17x34x352 (Innendeckel: Rahmen Seiten)</v>
      </c>
      <c r="R6" s="55" t="str">
        <f>"Kantholz "&amp;Bauteile!$C$11&amp;"x"&amp;Bauteile!$C$12&amp;"x"&amp;Bauteile!$I$54&amp;" ("&amp;Bauteile!$B$54&amp;": "&amp;Bauteile!$C$54&amp;")"</f>
        <v>Kantholz 17x34x312 (Innendeckel: Rahmen v/h)</v>
      </c>
      <c r="S6" s="55" t="str">
        <f>"Kantholz "&amp;Bauteile!$C$11&amp;"x"&amp;Bauteile!$C$12&amp;"x"&amp;Bauteile!$I$41&amp;" ("&amp;Bauteile!$B$41&amp;": "&amp;Bauteile!$C$41&amp;")"</f>
        <v>Kantholz 17x34x420 (Boden: Kantholz kl Seiten)</v>
      </c>
      <c r="T6" s="55" t="str">
        <f>"Kantholz "&amp;Bauteile!$C$11&amp;"x"&amp;Bauteile!$C$12&amp;"x"&amp;Bauteile!$I$62&amp;" ("&amp;Bauteile!$B$62&amp;": "&amp;Bauteile!$C$62&amp;")"</f>
        <v>Kantholz 17x34x424 (Außendeckel: Kantholz kl Seiten)</v>
      </c>
      <c r="U6" s="55" t="str">
        <f>"Kantholz "&amp;Bauteile!$C$11&amp;"x"&amp;Bauteile!$C$12&amp;"x"&amp;Bauteile!$I$61&amp;" ("&amp;Bauteile!$B$61&amp;": "&amp;Bauteile!$C$61&amp;")"</f>
        <v>Kantholz 17x34x350 (Außendeckel: Kantholz kl v/h)</v>
      </c>
      <c r="V6" s="56" t="str">
        <f>"Gesamtlänge Kantholz "&amp;Bauteile!$C$11&amp;"x"&amp;Bauteile!$C$12</f>
        <v>Gesamtlänge Kantholz 17x34</v>
      </c>
      <c r="W6" s="57" t="str">
        <f>"Kantholz "&amp;Bauteile!$C$9&amp;"x"&amp;Bauteile!$C$10&amp;"x"&amp;Bauteile!$I$40&amp;" ("&amp;Bauteile!$B$40&amp;": "&amp;Bauteile!$C$40&amp;")"</f>
        <v>Kantholz 58x38x344 (Boden: Kantholz gr Seiten)</v>
      </c>
      <c r="X6" s="57" t="str">
        <f>"Kantholz "&amp;Bauteile!$C$9&amp;"x"&amp;Bauteile!$C$10&amp;"x"&amp;Bauteile!$I$39&amp;" ("&amp;Bauteile!$B$39&amp;": "&amp;Bauteile!$C$39&amp;")"</f>
        <v>Kantholz 58x38x312 (Boden: Kantholz gr v/h)</v>
      </c>
      <c r="Y6" s="56" t="str">
        <f>"Gesamtlänge Kantholz "&amp;Bauteile!$C$9&amp;"x"&amp;Bauteile!$C$10</f>
        <v>Gesamtlänge Kantholz 58x38</v>
      </c>
      <c r="Z6" s="57" t="str">
        <f>"Korkplatte "&amp;Bauteile!$G$57&amp;"x"&amp;Bauteile!$I$57&amp;" ("&amp;Bauteile!$B$57&amp;": "&amp;Bauteile!$C$57&amp;")"</f>
        <v>Korkplatte 242x352 (Innendeckel: Dämmplatte)</v>
      </c>
      <c r="AA6" s="58" t="str">
        <f>"Leimholz "&amp;Bauteile!$G$25&amp;"x"&amp;Bauteile!$I$25&amp;" (Falz)"&amp;" ("&amp;Bauteile!$B$25&amp;": "&amp;Bauteile!$C$25&amp;")"</f>
        <v>Leimholz 119x276 (Falz) (Flachzarge: Vorne/Hinten)</v>
      </c>
      <c r="AB6" s="58" t="str">
        <f>"Leimholz "&amp;Bauteile!$G$26&amp;"x"&amp;Bauteile!$I$26&amp;" ("&amp;Bauteile!$B$26&amp;": "&amp;Bauteile!$C$26&amp;")"</f>
        <v>Leimholz 119x420 (Flachzarge: Seite)</v>
      </c>
      <c r="AC6" s="58" t="str">
        <f>"Leimholz "&amp;Bauteile!$G$19&amp;"x"&amp;Bauteile!$I$19&amp;" (Falz)"&amp;" ("&amp;Bauteile!$B$19&amp;": "&amp;Bauteile!$C$19&amp;")"</f>
        <v>Leimholz 232x276 (Falz) (Ganzzarge: Vorne/Hinten)</v>
      </c>
      <c r="AD6" s="58" t="str">
        <f>"Leimholz "&amp;Bauteile!$G$20&amp;"x"&amp;Bauteile!$I$20&amp;" ("&amp;Bauteile!$B$20&amp;": "&amp;Bauteile!$C$20&amp;")"</f>
        <v>Leimholz 232x420 (Ganzzarge: Seite)</v>
      </c>
      <c r="AE6" s="58" t="str">
        <f>"Leimholz "&amp;Bauteile!$G$33&amp;"x"&amp;Bauteile!$I$33&amp;" ("&amp;Bauteile!$B$33&amp;": "&amp;Bauteile!$C$33&amp;")"</f>
        <v>Leimholz 100x276 (Futterzarge: Aufstieg)</v>
      </c>
      <c r="AF6" s="57" t="s">
        <v>88</v>
      </c>
      <c r="AG6" s="57" t="s">
        <v>89</v>
      </c>
      <c r="AH6" s="57" t="s">
        <v>90</v>
      </c>
      <c r="AI6" s="59" t="str">
        <f>"Spax "&amp;Bauteile!$G$24&amp;"x"&amp;Bauteile!$I$24</f>
        <v>Spax 3,5x40</v>
      </c>
      <c r="AJ6" s="57" t="str">
        <f>"Spax Schrauben "&amp;Bauteile!$G$49&amp;"x"&amp;Bauteile!$I$49&amp;" ("&amp;Bauteile!$B$49&amp;": "&amp;Bauteile!$C$49&amp;")"</f>
        <v>Spax Schrauben ??x78 (Boden: Schrauben Boden gr)</v>
      </c>
      <c r="AK6" s="57" t="str">
        <f>"Spax Schrauben "&amp;Bauteile!$G$23&amp;"x"&amp;Bauteile!$I$23&amp;" (Zargen: "&amp;Bauteile!$C$23&amp;")"</f>
        <v>Spax Schrauben 3x&lt;34 (Zargen: Schrauben Griffe)</v>
      </c>
      <c r="AL6" s="57" t="str">
        <f>"Spax Schrauben "&amp;Bauteile!$G$50&amp;"x"&amp;Bauteile!$I$50&amp;" ("&amp;Bauteile!$B$50&amp;": "&amp;Bauteile!$C$50&amp;")"</f>
        <v>Spax Schrauben ??x88 (Boden: Schrauben Füße)</v>
      </c>
      <c r="AM6" s="57" t="str">
        <f>"Sperrhoz 8mm "&amp;Bauteile!$G$48&amp;"x"&amp;Bauteile!$I$48&amp;" ("&amp;Bauteile!$B$48&amp;": "&amp;Bauteile!$C$48&amp;")"</f>
        <v>Sperrhoz 8mm 244x364 (Boden: Varroabrett)</v>
      </c>
      <c r="AN6" s="57" t="str">
        <f>"Sperrhoz 8mm "&amp;Bauteile!$G$46&amp;"x"&amp;Bauteile!$I$46&amp;" ("&amp;Bauteile!$B$46&amp;": "&amp;Bauteile!$C$46&amp;")"</f>
        <v>Sperrhoz 8mm 346x120 (Boden: Anflugbrett)</v>
      </c>
      <c r="AO6" s="57" t="str">
        <f>"Sperrhoz 8mm "&amp;Bauteile!$G$63&amp;"x"&amp;Bauteile!$I$63&amp;" ("&amp;Bauteile!$B$63&amp;": "&amp;Bauteile!$C$63&amp;")"</f>
        <v>Sperrhoz 8mm 350x458 (Außendeckel: Deckplatte)</v>
      </c>
      <c r="AP6" s="57" t="s">
        <v>91</v>
      </c>
      <c r="AQ6" s="57" t="s">
        <v>60</v>
      </c>
      <c r="AR6" s="57" t="str">
        <f>"UV-feste Plane "&amp;Bauteile!$G$64&amp;"x"&amp;Bauteile!$I$64&amp;" ("&amp;Bauteile!$B$64&amp;": "&amp;Bauteile!$C$64&amp;")"</f>
        <v>UV-feste Plane 486x594 (Außendeckel: Plane)</v>
      </c>
      <c r="AS6" s="57" t="s">
        <v>94</v>
      </c>
      <c r="AT6" s="57" t="s">
        <v>4</v>
      </c>
      <c r="AU6" s="57" t="s">
        <v>5</v>
      </c>
      <c r="AV6" s="70" t="s">
        <v>3</v>
      </c>
    </row>
    <row r="7" spans="1:45" ht="12.75" hidden="1">
      <c r="A7" s="53"/>
      <c r="B7" s="53"/>
      <c r="C7" s="53"/>
      <c r="D7" s="53"/>
      <c r="F7" s="18"/>
      <c r="G7" s="18"/>
      <c r="H7" s="37"/>
      <c r="I7" s="37"/>
      <c r="J7" s="37"/>
      <c r="K7" s="37"/>
      <c r="L7" s="37"/>
      <c r="M7" s="37"/>
      <c r="N7" s="37"/>
      <c r="O7" s="37"/>
      <c r="P7" s="37"/>
      <c r="Q7" s="18"/>
      <c r="R7" s="37"/>
      <c r="S7" s="37"/>
      <c r="T7" s="37"/>
      <c r="U7" s="37"/>
      <c r="V7" s="41"/>
      <c r="W7" s="18"/>
      <c r="X7" s="18"/>
      <c r="Y7" s="46"/>
      <c r="Z7" s="18"/>
      <c r="AA7" s="18"/>
      <c r="AB7" s="18"/>
      <c r="AC7" s="18">
        <f>Bauteile!$L$19</f>
        <v>16</v>
      </c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</row>
    <row r="8" spans="1:45" ht="12.75" hidden="1">
      <c r="A8" s="53"/>
      <c r="B8" s="53"/>
      <c r="C8" s="53"/>
      <c r="D8" s="53"/>
      <c r="F8" s="16"/>
      <c r="G8" s="16"/>
      <c r="H8" s="21"/>
      <c r="I8" s="21"/>
      <c r="J8" s="21"/>
      <c r="K8" s="21"/>
      <c r="L8" s="21"/>
      <c r="M8" s="21"/>
      <c r="N8" s="21"/>
      <c r="O8" s="21"/>
      <c r="P8" s="21"/>
      <c r="Q8" s="16"/>
      <c r="R8" s="21"/>
      <c r="S8" s="21"/>
      <c r="T8" s="21"/>
      <c r="U8" s="21"/>
      <c r="V8" s="42"/>
      <c r="W8" s="16"/>
      <c r="Y8" s="47"/>
      <c r="Z8" s="16"/>
      <c r="AA8" s="16"/>
      <c r="AB8" s="16"/>
      <c r="AC8" s="16"/>
      <c r="AD8" s="16">
        <f>Bauteile!$L$20</f>
        <v>16</v>
      </c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</row>
    <row r="9" spans="6:45" ht="12.75" hidden="1">
      <c r="F9" s="18"/>
      <c r="G9" s="18"/>
      <c r="H9" s="22"/>
      <c r="I9" s="22"/>
      <c r="J9" s="22"/>
      <c r="K9" s="22"/>
      <c r="L9" s="22"/>
      <c r="M9" s="22">
        <f>Bauteile!$L$21</f>
        <v>16</v>
      </c>
      <c r="N9" s="22"/>
      <c r="O9" s="22"/>
      <c r="P9" s="22"/>
      <c r="Q9" s="22"/>
      <c r="R9" s="22"/>
      <c r="S9" s="22"/>
      <c r="T9" s="22"/>
      <c r="U9" s="22"/>
      <c r="V9" s="43"/>
      <c r="W9" s="18"/>
      <c r="X9" s="18"/>
      <c r="Y9" s="46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</row>
    <row r="10" spans="6:45" ht="12.75" hidden="1">
      <c r="F10" s="16"/>
      <c r="G10" s="16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42"/>
      <c r="W10" s="16"/>
      <c r="X10" s="16"/>
      <c r="Y10" s="47"/>
      <c r="Z10" s="16"/>
      <c r="AA10" s="16"/>
      <c r="AB10" s="16"/>
      <c r="AC10" s="16"/>
      <c r="AD10" s="16"/>
      <c r="AE10" s="16"/>
      <c r="AF10" s="16"/>
      <c r="AG10" s="16">
        <f>Bauteile!$L$22</f>
        <v>64</v>
      </c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</row>
    <row r="11" spans="5:45" ht="12.75" hidden="1">
      <c r="E11" s="1"/>
      <c r="F11" s="18"/>
      <c r="G11" s="18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43"/>
      <c r="W11" s="19"/>
      <c r="X11" s="19"/>
      <c r="Y11" s="48"/>
      <c r="Z11" s="19"/>
      <c r="AA11" s="19"/>
      <c r="AB11" s="19"/>
      <c r="AC11" s="19"/>
      <c r="AD11" s="19"/>
      <c r="AE11" s="19"/>
      <c r="AF11" s="19"/>
      <c r="AG11" s="19"/>
      <c r="AH11" s="19"/>
      <c r="AI11" s="19">
        <f>Bauteile!$L$24</f>
        <v>224</v>
      </c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6:45" ht="12.75" hidden="1">
      <c r="F12" s="20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42"/>
      <c r="W12" s="16"/>
      <c r="X12" s="20"/>
      <c r="Y12" s="49"/>
      <c r="Z12" s="20"/>
      <c r="AA12" s="20">
        <f>Bauteile!$L$25</f>
        <v>0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</row>
    <row r="13" spans="6:45" ht="12.75" hidden="1">
      <c r="F13" s="18"/>
      <c r="G13" s="18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43"/>
      <c r="W13" s="18"/>
      <c r="X13" s="18"/>
      <c r="Y13" s="46"/>
      <c r="Z13" s="18"/>
      <c r="AA13" s="18"/>
      <c r="AB13" s="18">
        <f>Bauteile!$L$26</f>
        <v>0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</row>
    <row r="14" spans="6:45" ht="12.75" hidden="1">
      <c r="F14" s="16"/>
      <c r="G14" s="16"/>
      <c r="H14" s="21"/>
      <c r="I14" s="21"/>
      <c r="J14" s="21"/>
      <c r="K14" s="21"/>
      <c r="L14" s="21"/>
      <c r="M14" s="21">
        <f>Bauteile!$L$27</f>
        <v>0</v>
      </c>
      <c r="N14" s="21"/>
      <c r="O14" s="21"/>
      <c r="P14" s="21"/>
      <c r="Q14" s="21"/>
      <c r="R14" s="21"/>
      <c r="S14" s="21"/>
      <c r="T14" s="21"/>
      <c r="U14" s="21"/>
      <c r="V14" s="42"/>
      <c r="W14" s="16"/>
      <c r="X14" s="16"/>
      <c r="Y14" s="47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</row>
    <row r="15" spans="6:45" ht="12.75" hidden="1">
      <c r="F15" s="18"/>
      <c r="G15" s="18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43"/>
      <c r="W15" s="18"/>
      <c r="X15" s="18"/>
      <c r="Y15" s="46"/>
      <c r="Z15" s="18"/>
      <c r="AA15" s="18"/>
      <c r="AB15" s="18"/>
      <c r="AC15" s="18"/>
      <c r="AD15" s="18"/>
      <c r="AE15" s="18"/>
      <c r="AF15" s="18"/>
      <c r="AG15" s="18"/>
      <c r="AH15" s="18">
        <f>Bauteile!$L$28</f>
        <v>0</v>
      </c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</row>
    <row r="16" spans="5:45" ht="12.75" hidden="1">
      <c r="E16" s="1"/>
      <c r="F16" s="16"/>
      <c r="G16" s="16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42"/>
      <c r="W16" s="17"/>
      <c r="X16" s="17"/>
      <c r="Y16" s="50"/>
      <c r="Z16" s="17"/>
      <c r="AA16" s="17"/>
      <c r="AB16" s="17"/>
      <c r="AC16" s="17"/>
      <c r="AD16" s="17"/>
      <c r="AE16" s="17"/>
      <c r="AF16" s="17"/>
      <c r="AG16" s="17"/>
      <c r="AH16" s="17"/>
      <c r="AI16" s="17">
        <f>Bauteile!$L$30</f>
        <v>0</v>
      </c>
      <c r="AJ16" s="17"/>
      <c r="AK16" s="17"/>
      <c r="AL16" s="17"/>
      <c r="AM16" s="17"/>
      <c r="AN16" s="17"/>
      <c r="AO16" s="17"/>
      <c r="AP16" s="17"/>
      <c r="AQ16" s="17"/>
      <c r="AR16" s="17"/>
      <c r="AS16" s="17"/>
    </row>
    <row r="17" spans="6:45" ht="12.75" hidden="1">
      <c r="F17" s="18"/>
      <c r="G17" s="18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43"/>
      <c r="W17" s="18"/>
      <c r="X17" s="18"/>
      <c r="Y17" s="46"/>
      <c r="Z17" s="18"/>
      <c r="AA17" s="18">
        <f>Bauteile!$L$31</f>
        <v>4</v>
      </c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</row>
    <row r="18" spans="6:45" ht="12.75" hidden="1">
      <c r="F18" s="16"/>
      <c r="G18" s="16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42"/>
      <c r="W18" s="16"/>
      <c r="X18" s="16"/>
      <c r="Y18" s="47"/>
      <c r="Z18" s="16"/>
      <c r="AA18" s="16"/>
      <c r="AB18" s="16">
        <f>Bauteile!$L$32</f>
        <v>4</v>
      </c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</row>
    <row r="19" spans="6:45" ht="12.75" hidden="1">
      <c r="F19" s="18"/>
      <c r="G19" s="18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43"/>
      <c r="W19" s="18"/>
      <c r="X19" s="18"/>
      <c r="Y19" s="46"/>
      <c r="Z19" s="18"/>
      <c r="AA19" s="18"/>
      <c r="AB19" s="18"/>
      <c r="AC19" s="18"/>
      <c r="AD19" s="18"/>
      <c r="AE19" s="18">
        <f>Bauteile!$L$33</f>
        <v>2</v>
      </c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</row>
    <row r="20" spans="6:45" ht="15.75" customHeight="1" hidden="1">
      <c r="F20" s="16"/>
      <c r="G20" s="16"/>
      <c r="H20" s="21"/>
      <c r="I20" s="21"/>
      <c r="J20" s="21"/>
      <c r="K20" s="21"/>
      <c r="L20" s="21"/>
      <c r="M20" s="21">
        <f>Bauteile!$L$34</f>
        <v>4</v>
      </c>
      <c r="N20" s="21"/>
      <c r="O20" s="21"/>
      <c r="P20" s="21"/>
      <c r="Q20" s="21"/>
      <c r="R20" s="21"/>
      <c r="S20" s="21"/>
      <c r="T20" s="21"/>
      <c r="U20" s="21"/>
      <c r="V20" s="42"/>
      <c r="W20" s="16"/>
      <c r="X20" s="16"/>
      <c r="Y20" s="47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6:45" ht="0.75" customHeight="1" hidden="1">
      <c r="F21" s="18"/>
      <c r="G21" s="18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43"/>
      <c r="W21" s="18"/>
      <c r="X21" s="18"/>
      <c r="Y21" s="46">
        <f>Bauteile!$L$35</f>
        <v>2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</row>
    <row r="22" spans="6:45" ht="12.75" hidden="1">
      <c r="F22" s="16"/>
      <c r="G22" s="16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42"/>
      <c r="W22" s="16"/>
      <c r="X22" s="16"/>
      <c r="Y22" s="47"/>
      <c r="Z22" s="16"/>
      <c r="AA22" s="16"/>
      <c r="AB22" s="16"/>
      <c r="AC22" s="16"/>
      <c r="AD22" s="16"/>
      <c r="AE22" s="16"/>
      <c r="AF22" s="16"/>
      <c r="AG22" s="16"/>
      <c r="AH22" s="16"/>
      <c r="AI22" s="16">
        <f>Bauteile!$L$37</f>
        <v>44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6:45" ht="15.75" customHeight="1" hidden="1">
      <c r="F23" s="18"/>
      <c r="G23" s="18"/>
      <c r="H23" s="22">
        <f>Bauteile!$L$38</f>
        <v>2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43"/>
      <c r="W23" s="18"/>
      <c r="X23" s="18"/>
      <c r="Y23" s="46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</row>
    <row r="24" spans="6:45" ht="12.75" hidden="1">
      <c r="F24" s="16"/>
      <c r="G24" s="16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42"/>
      <c r="W24" s="16"/>
      <c r="X24" s="16">
        <f>Bauteile!$L$39</f>
        <v>4</v>
      </c>
      <c r="Y24" s="47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6:45" ht="12.75" hidden="1">
      <c r="F25" s="18"/>
      <c r="G25" s="18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43"/>
      <c r="W25" s="18">
        <f>Bauteile!$L$40</f>
        <v>4</v>
      </c>
      <c r="X25" s="18"/>
      <c r="Y25" s="46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</row>
    <row r="26" spans="6:45" ht="12.75" hidden="1">
      <c r="F26" s="16"/>
      <c r="G26" s="16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>
        <f>Bauteile!$AA$41</f>
        <v>4</v>
      </c>
      <c r="T26" s="21"/>
      <c r="U26" s="21"/>
      <c r="V26" s="42"/>
      <c r="W26" s="16"/>
      <c r="X26" s="16"/>
      <c r="Y26" s="47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</row>
    <row r="27" spans="6:45" ht="12.75" hidden="1">
      <c r="F27" s="18"/>
      <c r="G27" s="18"/>
      <c r="H27" s="22"/>
      <c r="I27" s="22"/>
      <c r="J27" s="22"/>
      <c r="K27" s="22"/>
      <c r="L27" s="22"/>
      <c r="M27" s="22"/>
      <c r="N27" s="22"/>
      <c r="O27" s="22"/>
      <c r="P27" s="22">
        <f>Bauteile!$L$42</f>
        <v>2</v>
      </c>
      <c r="Q27" s="22"/>
      <c r="R27" s="22"/>
      <c r="S27" s="22"/>
      <c r="T27" s="22"/>
      <c r="U27" s="22"/>
      <c r="V27" s="43"/>
      <c r="W27" s="18"/>
      <c r="X27" s="18"/>
      <c r="Y27" s="46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</row>
    <row r="28" spans="6:45" ht="12.75" hidden="1">
      <c r="F28" s="16"/>
      <c r="G28" s="16"/>
      <c r="H28" s="21"/>
      <c r="I28" s="21"/>
      <c r="J28" s="21"/>
      <c r="K28" s="21"/>
      <c r="L28" s="21"/>
      <c r="M28" s="21"/>
      <c r="N28" s="21"/>
      <c r="O28" s="21">
        <f>Bauteile!$L$43</f>
        <v>2</v>
      </c>
      <c r="P28" s="3"/>
      <c r="Q28" s="21"/>
      <c r="R28" s="21"/>
      <c r="S28" s="21"/>
      <c r="T28" s="21"/>
      <c r="U28" s="16"/>
      <c r="V28" s="42"/>
      <c r="W28" s="21"/>
      <c r="X28" s="16"/>
      <c r="Y28" s="47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</row>
    <row r="29" spans="6:45" ht="12.75" hidden="1">
      <c r="F29" s="18"/>
      <c r="G29" s="18">
        <f>Bauteile!$L$44</f>
        <v>2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43"/>
      <c r="W29" s="18"/>
      <c r="X29" s="18"/>
      <c r="Y29" s="46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</row>
    <row r="30" spans="6:45" ht="12.75" hidden="1">
      <c r="F30" s="16">
        <f>Bauteile!$L$45</f>
        <v>2</v>
      </c>
      <c r="G30" s="1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42"/>
      <c r="W30" s="16"/>
      <c r="X30" s="16"/>
      <c r="Y30" s="47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</row>
    <row r="31" spans="6:45" ht="12.75" hidden="1">
      <c r="F31" s="18"/>
      <c r="G31" s="18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43"/>
      <c r="W31" s="18"/>
      <c r="X31" s="18"/>
      <c r="Y31" s="46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>
        <f>Bauteile!$L$46</f>
        <v>2</v>
      </c>
      <c r="AO31" s="18"/>
      <c r="AP31" s="18"/>
      <c r="AQ31" s="18"/>
      <c r="AR31" s="18"/>
      <c r="AS31" s="18"/>
    </row>
    <row r="32" spans="6:45" ht="12.75" hidden="1">
      <c r="F32" s="16"/>
      <c r="G32" s="16"/>
      <c r="H32" s="21"/>
      <c r="I32" s="21"/>
      <c r="J32" s="21"/>
      <c r="K32" s="21"/>
      <c r="L32" s="21">
        <f>Bauteile!$L$47</f>
        <v>8</v>
      </c>
      <c r="M32" s="21"/>
      <c r="N32" s="21"/>
      <c r="O32" s="21"/>
      <c r="P32" s="21"/>
      <c r="Q32" s="21"/>
      <c r="R32" s="21"/>
      <c r="S32" s="21"/>
      <c r="T32" s="21"/>
      <c r="U32" s="21"/>
      <c r="V32" s="42"/>
      <c r="W32" s="16"/>
      <c r="X32" s="16"/>
      <c r="Y32" s="47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</row>
    <row r="33" spans="6:45" ht="12.75" hidden="1">
      <c r="F33" s="18"/>
      <c r="G33" s="18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43"/>
      <c r="W33" s="18"/>
      <c r="X33" s="18"/>
      <c r="Y33" s="46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>
        <f>Bauteile!$L$48</f>
        <v>2</v>
      </c>
      <c r="AN33" s="18"/>
      <c r="AO33" s="18"/>
      <c r="AP33" s="18"/>
      <c r="AQ33" s="18"/>
      <c r="AR33" s="18"/>
      <c r="AS33" s="18"/>
    </row>
    <row r="34" spans="6:45" ht="12.75" hidden="1">
      <c r="F34" s="16"/>
      <c r="G34" s="16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42"/>
      <c r="W34" s="16"/>
      <c r="X34" s="16"/>
      <c r="Y34" s="47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>
        <f>Bauteile!$L$49</f>
        <v>8</v>
      </c>
      <c r="AK34" s="16"/>
      <c r="AL34" s="16"/>
      <c r="AM34" s="16"/>
      <c r="AN34" s="16"/>
      <c r="AO34" s="16"/>
      <c r="AP34" s="16"/>
      <c r="AQ34" s="16"/>
      <c r="AR34" s="16"/>
      <c r="AS34" s="16"/>
    </row>
    <row r="35" spans="6:45" ht="12.75" hidden="1">
      <c r="F35" s="18"/>
      <c r="G35" s="18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43"/>
      <c r="W35" s="18"/>
      <c r="X35" s="18"/>
      <c r="Y35" s="46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>
        <f>Bauteile!$L$50</f>
        <v>16</v>
      </c>
      <c r="AL35" s="18"/>
      <c r="AM35" s="18"/>
      <c r="AN35" s="18"/>
      <c r="AO35" s="18"/>
      <c r="AP35" s="18"/>
      <c r="AQ35" s="18"/>
      <c r="AR35" s="18"/>
      <c r="AS35" s="18"/>
    </row>
    <row r="36" spans="6:45" ht="12.75" hidden="1">
      <c r="F36" s="16"/>
      <c r="G36" s="16"/>
      <c r="H36" s="21"/>
      <c r="I36" s="21"/>
      <c r="J36" s="21"/>
      <c r="K36" s="21"/>
      <c r="L36" s="21"/>
      <c r="M36" s="21"/>
      <c r="N36" s="21">
        <f>Bauteile!$L$51</f>
        <v>4</v>
      </c>
      <c r="O36" s="21"/>
      <c r="P36" s="21"/>
      <c r="Q36" s="21"/>
      <c r="R36" s="21"/>
      <c r="S36" s="21"/>
      <c r="T36" s="21"/>
      <c r="U36" s="21"/>
      <c r="V36" s="42"/>
      <c r="W36" s="23"/>
      <c r="X36" s="21"/>
      <c r="Y36" s="47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</row>
    <row r="37" spans="6:45" ht="12.75" hidden="1">
      <c r="F37" s="18"/>
      <c r="G37" s="18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43"/>
      <c r="W37" s="24"/>
      <c r="X37" s="22"/>
      <c r="Y37" s="46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>
        <f>Bauteile!$L$52</f>
        <v>40</v>
      </c>
      <c r="AR37" s="18"/>
      <c r="AS37" s="18"/>
    </row>
    <row r="38" spans="5:45" ht="12.75" hidden="1">
      <c r="E38" s="1"/>
      <c r="F38" s="16"/>
      <c r="G38" s="16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42"/>
      <c r="W38" s="23"/>
      <c r="X38" s="21"/>
      <c r="Y38" s="50"/>
      <c r="Z38" s="17"/>
      <c r="AA38" s="17"/>
      <c r="AB38" s="17"/>
      <c r="AC38" s="17"/>
      <c r="AD38" s="17"/>
      <c r="AE38" s="17"/>
      <c r="AF38" s="17"/>
      <c r="AG38" s="17"/>
      <c r="AH38" s="17"/>
      <c r="AI38" s="17">
        <f>Bauteile!$L$53</f>
        <v>32</v>
      </c>
      <c r="AJ38" s="17"/>
      <c r="AK38" s="17"/>
      <c r="AL38" s="17"/>
      <c r="AM38" s="17"/>
      <c r="AN38" s="17"/>
      <c r="AO38" s="17"/>
      <c r="AP38" s="17"/>
      <c r="AQ38" s="17"/>
      <c r="AR38" s="17"/>
      <c r="AS38" s="17"/>
    </row>
    <row r="39" spans="6:45" ht="12.75" hidden="1">
      <c r="F39" s="18"/>
      <c r="G39" s="18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>
        <f>Bauteile!$L$54</f>
        <v>4</v>
      </c>
      <c r="S39" s="22"/>
      <c r="T39" s="22"/>
      <c r="U39" s="22"/>
      <c r="V39" s="43"/>
      <c r="W39" s="24"/>
      <c r="X39" s="22"/>
      <c r="Y39" s="46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</row>
    <row r="40" spans="6:45" ht="12.75" hidden="1">
      <c r="F40" s="16"/>
      <c r="G40" s="16"/>
      <c r="H40" s="21"/>
      <c r="I40" s="21"/>
      <c r="J40" s="21"/>
      <c r="K40" s="21"/>
      <c r="L40" s="21"/>
      <c r="M40" s="21"/>
      <c r="N40" s="21"/>
      <c r="O40" s="21"/>
      <c r="P40" s="21"/>
      <c r="Q40" s="21">
        <f>Bauteile!$L$55</f>
        <v>4</v>
      </c>
      <c r="R40" s="21"/>
      <c r="S40" s="21"/>
      <c r="T40" s="21"/>
      <c r="U40" s="21"/>
      <c r="V40" s="42"/>
      <c r="W40" s="23"/>
      <c r="X40" s="21"/>
      <c r="Y40" s="47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</row>
    <row r="41" spans="6:45" ht="12.75" hidden="1">
      <c r="F41" s="18"/>
      <c r="G41" s="18"/>
      <c r="H41" s="22"/>
      <c r="I41" s="22">
        <f>Bauteile!$L$56</f>
        <v>2</v>
      </c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43"/>
      <c r="W41" s="24"/>
      <c r="X41" s="22"/>
      <c r="Y41" s="46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</row>
    <row r="42" spans="6:45" ht="12.75" hidden="1">
      <c r="F42" s="16"/>
      <c r="G42" s="16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42"/>
      <c r="W42" s="23"/>
      <c r="X42" s="21"/>
      <c r="Y42" s="47"/>
      <c r="Z42" s="16">
        <f>Bauteile!$L$57</f>
        <v>2</v>
      </c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</row>
    <row r="43" spans="6:45" ht="12.75" hidden="1">
      <c r="F43" s="18"/>
      <c r="G43" s="18"/>
      <c r="H43" s="22"/>
      <c r="I43" s="22"/>
      <c r="J43" s="22">
        <f>Bauteile!$L$58</f>
        <v>2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43"/>
      <c r="W43" s="24"/>
      <c r="X43" s="22"/>
      <c r="Y43" s="46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</row>
    <row r="44" spans="6:45" ht="12.75" hidden="1">
      <c r="F44" s="16"/>
      <c r="G44" s="16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42"/>
      <c r="W44" s="23"/>
      <c r="X44" s="21"/>
      <c r="Y44" s="47"/>
      <c r="Z44" s="16"/>
      <c r="AA44" s="16"/>
      <c r="AB44" s="16"/>
      <c r="AC44" s="16"/>
      <c r="AD44" s="16"/>
      <c r="AE44" s="16"/>
      <c r="AF44" s="16"/>
      <c r="AG44" s="16"/>
      <c r="AH44" s="16"/>
      <c r="AI44" s="16">
        <f>Bauteile!$L$59</f>
        <v>8</v>
      </c>
      <c r="AJ44" s="16"/>
      <c r="AK44" s="16"/>
      <c r="AL44" s="16"/>
      <c r="AM44" s="16"/>
      <c r="AN44" s="16"/>
      <c r="AO44" s="16"/>
      <c r="AP44" s="16"/>
      <c r="AQ44" s="16"/>
      <c r="AR44" s="16"/>
      <c r="AS44" s="16"/>
    </row>
    <row r="45" spans="5:45" ht="12.75" hidden="1">
      <c r="E45" s="1"/>
      <c r="F45" s="18"/>
      <c r="G45" s="18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43"/>
      <c r="W45" s="24"/>
      <c r="X45" s="22"/>
      <c r="Y45" s="48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>
        <f>Bauteile!$L$60</f>
        <v>40</v>
      </c>
      <c r="AR45" s="19"/>
      <c r="AS45" s="19"/>
    </row>
    <row r="46" spans="6:45" ht="12.75" hidden="1">
      <c r="F46" s="16"/>
      <c r="G46" s="16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>
        <f>Bauteile!$L$61</f>
        <v>4</v>
      </c>
      <c r="V46" s="42"/>
      <c r="W46" s="23"/>
      <c r="X46" s="21"/>
      <c r="Y46" s="47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</row>
    <row r="47" spans="6:45" ht="12.75" hidden="1">
      <c r="F47" s="18"/>
      <c r="G47" s="18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>
        <f>Bauteile!$L$62</f>
        <v>4</v>
      </c>
      <c r="U47" s="22"/>
      <c r="V47" s="43"/>
      <c r="W47" s="24"/>
      <c r="X47" s="22"/>
      <c r="Y47" s="46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</row>
    <row r="48" spans="6:45" ht="12.75" hidden="1">
      <c r="F48" s="16"/>
      <c r="G48" s="16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42"/>
      <c r="W48" s="23"/>
      <c r="X48" s="21"/>
      <c r="Y48" s="47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>
        <f>Bauteile!$L$63</f>
        <v>2</v>
      </c>
      <c r="AP48" s="16"/>
      <c r="AQ48" s="16"/>
      <c r="AR48" s="16"/>
      <c r="AS48" s="16"/>
    </row>
    <row r="49" spans="6:45" ht="12.75" hidden="1">
      <c r="F49" s="18"/>
      <c r="G49" s="18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43"/>
      <c r="W49" s="24"/>
      <c r="X49" s="22"/>
      <c r="Y49" s="46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>
        <f>Bauteile!$L$64</f>
        <v>2</v>
      </c>
      <c r="AS49" s="18"/>
    </row>
    <row r="50" spans="6:45" ht="12.75" hidden="1">
      <c r="F50" s="16"/>
      <c r="G50" s="16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42"/>
      <c r="W50" s="23"/>
      <c r="X50" s="21"/>
      <c r="Y50" s="47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>
        <f>Bauteile!$L$65</f>
        <v>40</v>
      </c>
      <c r="AR50" s="16"/>
      <c r="AS50" s="16"/>
    </row>
    <row r="51" spans="6:45" ht="12.75" hidden="1">
      <c r="F51" s="18"/>
      <c r="G51" s="18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43"/>
      <c r="W51" s="24"/>
      <c r="X51" s="22"/>
      <c r="Y51" s="46"/>
      <c r="Z51" s="18"/>
      <c r="AA51" s="18"/>
      <c r="AB51" s="18"/>
      <c r="AC51" s="18"/>
      <c r="AD51" s="18"/>
      <c r="AE51" s="18"/>
      <c r="AF51" s="18">
        <f>Bauteile!$L$66</f>
        <v>40</v>
      </c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</row>
    <row r="52" spans="6:45" ht="12.75" hidden="1">
      <c r="F52" s="16"/>
      <c r="G52" s="16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42"/>
      <c r="W52" s="23"/>
      <c r="X52" s="21"/>
      <c r="Y52" s="47"/>
      <c r="Z52" s="16"/>
      <c r="AA52" s="16"/>
      <c r="AB52" s="16"/>
      <c r="AC52" s="16"/>
      <c r="AD52" s="16"/>
      <c r="AE52" s="16"/>
      <c r="AF52" s="16"/>
      <c r="AG52" s="16"/>
      <c r="AH52" s="16"/>
      <c r="AI52" s="16">
        <f>Bauteile!$L$67</f>
        <v>8</v>
      </c>
      <c r="AJ52" s="16"/>
      <c r="AK52" s="16"/>
      <c r="AL52" s="16"/>
      <c r="AM52" s="16"/>
      <c r="AN52" s="16"/>
      <c r="AO52" s="16"/>
      <c r="AP52" s="16"/>
      <c r="AQ52" s="16"/>
      <c r="AR52" s="16"/>
      <c r="AS52" s="16"/>
    </row>
    <row r="53" spans="5:45" ht="12.75" hidden="1">
      <c r="E53" s="1"/>
      <c r="F53" s="18"/>
      <c r="G53" s="18"/>
      <c r="H53" s="22"/>
      <c r="I53" s="22"/>
      <c r="J53" s="22"/>
      <c r="K53" s="22">
        <f>Bauteile!$L$68</f>
        <v>2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43"/>
      <c r="W53" s="24"/>
      <c r="X53" s="22"/>
      <c r="Y53" s="48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</row>
    <row r="54" ht="12" customHeight="1"/>
  </sheetData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76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unbekannter Teilnehmer</dc:creator>
  <cp:keywords/>
  <dc:description/>
  <cp:lastModifiedBy>unbekannter Teilnehmer</cp:lastModifiedBy>
  <cp:lastPrinted>2009-04-27T20:46:43Z</cp:lastPrinted>
  <dcterms:created xsi:type="dcterms:W3CDTF">2009-02-19T08:28:35Z</dcterms:created>
  <cp:category/>
  <cp:version/>
  <cp:contentType/>
  <cp:contentStatus/>
</cp:coreProperties>
</file>